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omments1.xml" ContentType="application/vnd.openxmlformats-officedocument.spreadsheetml.comments+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omments5.xml" ContentType="application/vnd.openxmlformats-officedocument.spreadsheetml.comments+xml"/>
  <Override PartName="/xl/drawings/drawing8.xml" ContentType="application/vnd.openxmlformats-officedocument.drawing+xml"/>
  <Override PartName="/xl/comments6.xml" ContentType="application/vnd.openxmlformats-officedocument.spreadsheetml.comments+xml"/>
  <Override PartName="/xl/drawings/drawing9.xml" ContentType="application/vnd.openxmlformats-officedocument.drawing+xml"/>
  <Override PartName="/xl/comments7.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8.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comments11.xml" ContentType="application/vnd.openxmlformats-officedocument.spreadsheetml.comments+xml"/>
  <Override PartName="/xl/drawings/drawing16.xml" ContentType="application/vnd.openxmlformats-officedocument.drawing+xml"/>
  <Override PartName="/xl/comments12.xml" ContentType="application/vnd.openxmlformats-officedocument.spreadsheetml.comments+xml"/>
  <Override PartName="/xl/drawings/drawing17.xml" ContentType="application/vnd.openxmlformats-officedocument.drawing+xml"/>
  <Override PartName="/xl/drawings/drawing1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EstaPasta_de_trabalho" autoCompressPictures="0" defaultThemeVersion="124226"/>
  <bookViews>
    <workbookView xWindow="-195" yWindow="-75" windowWidth="10980" windowHeight="11700" tabRatio="879"/>
  </bookViews>
  <sheets>
    <sheet name="Disclaimer" sheetId="37" r:id="rId1"/>
    <sheet name="Orientações de Preenchimento" sheetId="14" r:id="rId2"/>
    <sheet name="Plano de Trabalho" sheetId="1" r:id="rId3"/>
    <sheet name="Provisão de Água" sheetId="33" r:id="rId4"/>
    <sheet name="Provisão Biomassa Combustível" sheetId="16" r:id="rId5"/>
    <sheet name="Apoio_Provisão Biomassa Comb." sheetId="29" r:id="rId6"/>
    <sheet name="Regulação Qualidade da Água" sheetId="9" r:id="rId7"/>
    <sheet name="Apoio_Regulação Qualidade Água" sheetId="11" r:id="rId8"/>
    <sheet name="Assimilação Efluentes Líquido" sheetId="30" r:id="rId9"/>
    <sheet name="Apoio_Efluentes" sheetId="13" r:id="rId10"/>
    <sheet name="Regulação do clima global" sheetId="20" r:id="rId11"/>
    <sheet name="Apoio_Regulação do clima global" sheetId="21" r:id="rId12"/>
    <sheet name="FN3Aux" sheetId="22" state="hidden" r:id="rId13"/>
    <sheet name="Regulação de polinização" sheetId="27" r:id="rId14"/>
    <sheet name="Apoio Regulação de Polinização" sheetId="28" r:id="rId15"/>
    <sheet name="Regulação da Erosão do Solo" sheetId="35" r:id="rId16"/>
    <sheet name="Apoio_Regulação da Erosão" sheetId="34" r:id="rId17"/>
    <sheet name="Recreação e Turismo" sheetId="31" r:id="rId18"/>
    <sheet name="Resumo" sheetId="32" r:id="rId19"/>
    <sheet name="Plan1" sheetId="36" state="hidden" r:id="rId20"/>
  </sheets>
  <externalReferences>
    <externalReference r:id="rId21"/>
    <externalReference r:id="rId22"/>
    <externalReference r:id="rId23"/>
    <externalReference r:id="rId24"/>
    <externalReference r:id="rId25"/>
  </externalReferences>
  <definedNames>
    <definedName name="aasdfadsfasg">[1]Dados!$B$23:$B$25</definedName>
    <definedName name="adfasdfasg" localSheetId="4">#REF!</definedName>
    <definedName name="adfasdfasg" localSheetId="3">#REF!</definedName>
    <definedName name="adfasdfasg" localSheetId="6">#REF!</definedName>
    <definedName name="adfasdfasg">#REF!</definedName>
    <definedName name="adsfasdfsa" localSheetId="4">#REF!</definedName>
    <definedName name="adsfasdfsa" localSheetId="3">#REF!</definedName>
    <definedName name="adsfasdfsa" localSheetId="6">#REF!</definedName>
    <definedName name="adsfasdfsa">#REF!</definedName>
    <definedName name="adsfasdfsadfsadf" localSheetId="4">#REF!</definedName>
    <definedName name="adsfasdfsadfsadf" localSheetId="3">#REF!</definedName>
    <definedName name="adsfasdfsadfsadf" localSheetId="6">#REF!</definedName>
    <definedName name="adsfasdfsadfsadf">#REF!</definedName>
    <definedName name="adsfasfdasd" localSheetId="3">#REF!</definedName>
    <definedName name="adsfasfdasd" localSheetId="6">#REF!</definedName>
    <definedName name="adsfasfdasd">#REF!</definedName>
    <definedName name="adsfasgag" localSheetId="3">#REF!</definedName>
    <definedName name="adsfasgag" localSheetId="6">#REF!</definedName>
    <definedName name="adsfasgag">#REF!</definedName>
    <definedName name="adsfsadfa" localSheetId="3">#REF!</definedName>
    <definedName name="adsfsadfa" localSheetId="6">#REF!</definedName>
    <definedName name="adsfsadfa">#REF!</definedName>
    <definedName name="aewrwaerwae">[1]Dados!$B$15:$B$17</definedName>
    <definedName name="Amazônia">'Apoio_Regulação do clima global'!$B$27:$B$57</definedName>
    <definedName name="Ano">[2]Introdução!$E$24</definedName>
    <definedName name="aproveitamento" localSheetId="4">#REF!</definedName>
    <definedName name="aproveitamento" localSheetId="3">#REF!</definedName>
    <definedName name="aproveitamento" localSheetId="6">#REF!</definedName>
    <definedName name="aproveitamento">#REF!</definedName>
    <definedName name="aproveitamento1">'[3]Base de Dados'!$B$27:$B$30</definedName>
    <definedName name="aproveitamentoo" localSheetId="4">#REF!</definedName>
    <definedName name="aproveitamentoo" localSheetId="3">#REF!</definedName>
    <definedName name="aproveitamentoo" localSheetId="6">#REF!</definedName>
    <definedName name="aproveitamentoo">#REF!</definedName>
    <definedName name="Areaadensamento">'Regulação do clima global'!$J$11</definedName>
    <definedName name="Áreaenriquecimento">'Regulação do clima global'!$J$12</definedName>
    <definedName name="Areaisolamento">'Regulação do clima global'!$J$13</definedName>
    <definedName name="Areaplantiototal">'Regulação do clima global'!$J$10</definedName>
    <definedName name="asd" localSheetId="4">#REF!</definedName>
    <definedName name="asd" localSheetId="3">#REF!</definedName>
    <definedName name="asd" localSheetId="6">#REF!</definedName>
    <definedName name="asd">#REF!</definedName>
    <definedName name="asdfasdf" localSheetId="4">#REF!</definedName>
    <definedName name="asdfasdf" localSheetId="3">#REF!</definedName>
    <definedName name="asdfasdf" localSheetId="6">#REF!</definedName>
    <definedName name="asdfasdf">#REF!</definedName>
    <definedName name="asdfasdfa" localSheetId="3">#REF!</definedName>
    <definedName name="asdfasdfa" localSheetId="6">#REF!</definedName>
    <definedName name="asdfasdfa">#REF!</definedName>
    <definedName name="asdfsadfsadf" localSheetId="3">#REF!</definedName>
    <definedName name="asdfsadfsadf" localSheetId="6">#REF!</definedName>
    <definedName name="asdfsadfsadf">#REF!</definedName>
    <definedName name="asfasdfasgw">[1]Dados!$B$19:$B$21</definedName>
    <definedName name="asgaewgawe" localSheetId="4">[1]Dados!#REF!</definedName>
    <definedName name="asgaewgawe" localSheetId="3">[1]Dados!#REF!</definedName>
    <definedName name="asgaewgawe" localSheetId="6">[1]Dados!#REF!</definedName>
    <definedName name="asgaewgawe">[1]Dados!#REF!</definedName>
    <definedName name="awefas" localSheetId="4">#REF!</definedName>
    <definedName name="awefas" localSheetId="3">#REF!</definedName>
    <definedName name="awefas" localSheetId="6">#REF!</definedName>
    <definedName name="awefas">#REF!</definedName>
    <definedName name="bioma150" localSheetId="3">#REF!</definedName>
    <definedName name="bioma150">#REF!</definedName>
    <definedName name="Biomas" localSheetId="12">'[4]Base de dados'!#REF!</definedName>
    <definedName name="Biomas" localSheetId="4">#REF!</definedName>
    <definedName name="Biomas" localSheetId="6">#REF!</definedName>
    <definedName name="biomas">'Apoio_Regulação do clima global'!$B$8:$B$14</definedName>
    <definedName name="biomas1" localSheetId="12">'[4]Base de dados'!#REF!</definedName>
    <definedName name="biomas1" localSheetId="4">#REF!</definedName>
    <definedName name="biomas1" localSheetId="3">#REF!</definedName>
    <definedName name="biomas1" localSheetId="6">#REF!</definedName>
    <definedName name="biomas1">#REF!</definedName>
    <definedName name="biomas10" localSheetId="3">#REF!</definedName>
    <definedName name="biomas10" localSheetId="6">#REF!</definedName>
    <definedName name="biomas10">#REF!</definedName>
    <definedName name="biomas100" localSheetId="3">#REF!</definedName>
    <definedName name="biomas100" localSheetId="6">#REF!</definedName>
    <definedName name="biomas100">#REF!</definedName>
    <definedName name="biomas101" localSheetId="3">#REF!</definedName>
    <definedName name="biomas101" localSheetId="6">#REF!</definedName>
    <definedName name="biomas101">#REF!</definedName>
    <definedName name="biomas102" localSheetId="3">#REF!</definedName>
    <definedName name="biomas102" localSheetId="6">#REF!</definedName>
    <definedName name="biomas102">#REF!</definedName>
    <definedName name="biomas16" localSheetId="3">#REF!</definedName>
    <definedName name="biomas16" localSheetId="6">#REF!</definedName>
    <definedName name="biomas16">#REF!</definedName>
    <definedName name="biomas17" localSheetId="3">#REF!</definedName>
    <definedName name="biomas17" localSheetId="6">#REF!</definedName>
    <definedName name="biomas17">#REF!</definedName>
    <definedName name="Biomas2" localSheetId="12">'[4]Base de dados'!#REF!</definedName>
    <definedName name="Biomas2" localSheetId="3">#REF!</definedName>
    <definedName name="Biomas2" localSheetId="6">#REF!</definedName>
    <definedName name="Biomas2">#REF!</definedName>
    <definedName name="biomas20" localSheetId="6">#REF!</definedName>
    <definedName name="biomas3" localSheetId="3">#REF!</definedName>
    <definedName name="biomas3" localSheetId="6">#REF!</definedName>
    <definedName name="biomas3">#REF!</definedName>
    <definedName name="biomas33" localSheetId="3">#REF!</definedName>
    <definedName name="biomas33" localSheetId="6">#REF!</definedName>
    <definedName name="biomas33">#REF!</definedName>
    <definedName name="biomas34" localSheetId="3">#REF!</definedName>
    <definedName name="biomas34" localSheetId="6">#REF!</definedName>
    <definedName name="biomas34">#REF!</definedName>
    <definedName name="biomas4" localSheetId="3">#REF!</definedName>
    <definedName name="biomas4" localSheetId="6">#REF!</definedName>
    <definedName name="biomas4">#REF!</definedName>
    <definedName name="biomas5" localSheetId="3">#REF!</definedName>
    <definedName name="biomas5" localSheetId="6">#REF!</definedName>
    <definedName name="biomas5">#REF!</definedName>
    <definedName name="biomas6" localSheetId="3">#REF!</definedName>
    <definedName name="biomas6" localSheetId="6">#REF!</definedName>
    <definedName name="biomas6">#REF!</definedName>
    <definedName name="biomas9" localSheetId="3">#REF!</definedName>
    <definedName name="biomas9" localSheetId="6">#REF!</definedName>
    <definedName name="biomas9">#REF!</definedName>
    <definedName name="biomsa34" localSheetId="3">#REF!</definedName>
    <definedName name="biomsa34" localSheetId="6">#REF!</definedName>
    <definedName name="biomsa34">#REF!</definedName>
    <definedName name="Caatinga">'Apoio_Regulação do clima global'!$B$59:$B$83</definedName>
    <definedName name="Cerrado">'Apoio_Regulação do clima global'!$B$85:$B$114</definedName>
    <definedName name="consumoenergia" localSheetId="3">#REF!</definedName>
    <definedName name="consumoenergia" localSheetId="6">#REF!</definedName>
    <definedName name="consumoenergia">#REF!</definedName>
    <definedName name="contas_CM_col_CH4_bioc">'[2]Combustão móvel'!$BA$50:$BA$134</definedName>
    <definedName name="contas_CM_col_CH4_fossil">'[2]Combustão móvel'!$AO$50:$AO$134</definedName>
    <definedName name="contas_CM_col_CO2_bioc">'[2]Combustão móvel'!$AY$50:$AY$134</definedName>
    <definedName name="contas_CM_col_CO2_fossil">'[2]Combustão móvel'!$AM$50:$AM$134</definedName>
    <definedName name="contas_CM_col_N2O_bioc">'[2]Combustão móvel'!$BC$50:$BC$134</definedName>
    <definedName name="contas_CM_col_N2O_fossil">'[2]Combustão móvel'!$AQ$50:$AQ$134</definedName>
    <definedName name="contas_CM_intervalo">'[2]Combustão móvel'!$AF$50:$BC$134</definedName>
    <definedName name="contas_TeD_Down_col_CH4_bioc">'[2]Transp&amp;Distribuição(Downstream)'!$BA$52:$BA$136</definedName>
    <definedName name="contas_TeD_Down_col_CH4_fossil">'[2]Transp&amp;Distribuição(Downstream)'!$AO$52:$AO$136</definedName>
    <definedName name="contas_TeD_Down_col_CO2_bioc">'[2]Transp&amp;Distribuição(Downstream)'!$AY$52:$AY$136</definedName>
    <definedName name="contas_TeD_Down_col_CO2_fossil">'[2]Transp&amp;Distribuição(Downstream)'!$AM$52:$AM$136</definedName>
    <definedName name="contas_TeD_Down_col_N2O_bioc">'[2]Transp&amp;Distribuição(Downstream)'!$BC$52:$BC$136</definedName>
    <definedName name="contas_TeD_Down_col_N2O_fossil">'[2]Transp&amp;Distribuição(Downstream)'!$AQ$52:$AQ$136</definedName>
    <definedName name="contas_TeD_Down_intervalo">'[2]Transp&amp;Distribuição(Downstream)'!$AF$52:$BC$136</definedName>
    <definedName name="contas_TeD_Up_col_CH4_bioc">'[2]Transp.&amp; Distribuição(Upstream)'!$BA$53:$BA$137</definedName>
    <definedName name="contas_TeD_Up_col_CH4_fossil">'[2]Transp.&amp; Distribuição(Upstream)'!$AO$53:$AO$137</definedName>
    <definedName name="contas_TeD_Up_col_CO2_bioc">'[2]Transp.&amp; Distribuição(Upstream)'!$AY$53:$AY$137</definedName>
    <definedName name="contas_TeD_Up_col_CO2_fossil">'[2]Transp.&amp; Distribuição(Upstream)'!$AM$53:$AM$137</definedName>
    <definedName name="contas_TeD_Up_col_N2O_bioc">'[2]Transp.&amp; Distribuição(Upstream)'!$BC$53:$BC$137</definedName>
    <definedName name="contas_TeD_Up_col_N2O_fossil">'[2]Transp.&amp; Distribuição(Upstream)'!$AQ$53:$AQ$137</definedName>
    <definedName name="contas_TeD_Up_intervalo">'[2]Transp.&amp; Distribuição(Upstream)'!$AF$53:$BC$137</definedName>
    <definedName name="dafdsfasf">'[5]Atividades agrícolas'!$AE$96:$AE$102</definedName>
    <definedName name="default" localSheetId="4">#REF!</definedName>
    <definedName name="default" localSheetId="3">#REF!</definedName>
    <definedName name="default" localSheetId="6">#REF!</definedName>
    <definedName name="default">#REF!</definedName>
    <definedName name="default5" localSheetId="4">#REF!</definedName>
    <definedName name="default5" localSheetId="3">#REF!</definedName>
    <definedName name="default5" localSheetId="6">#REF!</definedName>
    <definedName name="default5">#REF!</definedName>
    <definedName name="Efluente">Apoio_Efluentes!$A$7:$A$47</definedName>
    <definedName name="empresa">'Plano de Trabalho'!$C$4</definedName>
    <definedName name="energia" localSheetId="4">#REF!</definedName>
    <definedName name="energia" localSheetId="3">#REF!</definedName>
    <definedName name="energia" localSheetId="6">#REF!</definedName>
    <definedName name="energia">#REF!</definedName>
    <definedName name="epipee" localSheetId="3">#REF!</definedName>
    <definedName name="epipee" localSheetId="6">#REF!</definedName>
    <definedName name="epipee">#REF!</definedName>
    <definedName name="equip" localSheetId="3">#REF!</definedName>
    <definedName name="equip" localSheetId="6">#REF!</definedName>
    <definedName name="equip">#REF!</definedName>
    <definedName name="equip11" localSheetId="3">#REF!</definedName>
    <definedName name="equip11" localSheetId="6">#REF!</definedName>
    <definedName name="equip11">#REF!</definedName>
    <definedName name="equip9" localSheetId="3">#REF!</definedName>
    <definedName name="equip9" localSheetId="6">#REF!</definedName>
    <definedName name="equip9">#REF!</definedName>
    <definedName name="equiper" localSheetId="3">#REF!</definedName>
    <definedName name="equiper" localSheetId="6">#REF!</definedName>
    <definedName name="equiper">#REF!</definedName>
    <definedName name="fama" localSheetId="6">#REF!</definedName>
    <definedName name="famazonia" localSheetId="3">#REF!</definedName>
    <definedName name="famazonia" localSheetId="6">#REF!</definedName>
    <definedName name="famazonia">#REF!</definedName>
    <definedName name="FatorEqPC">'Apoio_Provisão Biomassa Comb.'!$E$62</definedName>
    <definedName name="fcaa" localSheetId="6">#REF!</definedName>
    <definedName name="fcaa">'Regulação do clima global'!$C$143:$C$165</definedName>
    <definedName name="fcaatinga" localSheetId="3">#REF!</definedName>
    <definedName name="fcaatinga" localSheetId="6">#REF!</definedName>
    <definedName name="fcaatinga">#REF!</definedName>
    <definedName name="fcerr" localSheetId="6">#REF!</definedName>
    <definedName name="fcerrado" localSheetId="3">#REF!</definedName>
    <definedName name="fcerrado" localSheetId="6">#REF!</definedName>
    <definedName name="fcerrado">#REF!</definedName>
    <definedName name="fiarsim4" localSheetId="3">#REF!</definedName>
    <definedName name="fiarsim4" localSheetId="6">#REF!</definedName>
    <definedName name="fiarsim4">#REF!</definedName>
    <definedName name="fitacaatinga4" localSheetId="4">#REF!</definedName>
    <definedName name="fitacaatinga4" localSheetId="3">#REF!</definedName>
    <definedName name="fitacaatinga4" localSheetId="6">#REF!</definedName>
    <definedName name="fitacaatinga4">#REF!</definedName>
    <definedName name="fitacerrado4" localSheetId="3">#REF!</definedName>
    <definedName name="fitacerrado4" localSheetId="6">#REF!</definedName>
    <definedName name="fitacerrado4">#REF!</definedName>
    <definedName name="fitoamazonia" localSheetId="12">'[4]Base de dados'!$B$15:$B$45</definedName>
    <definedName name="fitoamazonia" localSheetId="3">#REF!</definedName>
    <definedName name="fitoamazonia" localSheetId="6">#REF!</definedName>
    <definedName name="fitoamazonia">#REF!</definedName>
    <definedName name="fitoamazonia1" localSheetId="3">#REF!</definedName>
    <definedName name="fitoamazonia1" localSheetId="6">#REF!</definedName>
    <definedName name="fitoamazonia1">#REF!</definedName>
    <definedName name="fitoamazonia54" localSheetId="3">#REF!</definedName>
    <definedName name="fitoamazonia54" localSheetId="6">#REF!</definedName>
    <definedName name="fitoamazonia54">#REF!</definedName>
    <definedName name="fitocaatinga" localSheetId="12">'[4]Base de dados'!#REF!</definedName>
    <definedName name="fitocaatinga" localSheetId="3">#REF!</definedName>
    <definedName name="fitocaatinga" localSheetId="6">#REF!</definedName>
    <definedName name="fitocaatinga">#REF!</definedName>
    <definedName name="fitocaatinga3" localSheetId="3">#REF!</definedName>
    <definedName name="fitocaatinga3" localSheetId="6">#REF!</definedName>
    <definedName name="fitocaatinga3">#REF!</definedName>
    <definedName name="fitocarredo56" localSheetId="3">#REF!</definedName>
    <definedName name="fitocarredo56" localSheetId="6">#REF!</definedName>
    <definedName name="fitocarredo56">#REF!</definedName>
    <definedName name="fitocatinga45" localSheetId="3">#REF!</definedName>
    <definedName name="fitocatinga45" localSheetId="6">#REF!</definedName>
    <definedName name="fitocatinga45">#REF!</definedName>
    <definedName name="fitocerrado" localSheetId="12">'[4]Base de dados'!#REF!</definedName>
    <definedName name="fitocerrado" localSheetId="3">#REF!</definedName>
    <definedName name="fitocerrado" localSheetId="6">#REF!</definedName>
    <definedName name="fitocerrado">#REF!</definedName>
    <definedName name="fitocerrado2" localSheetId="3">#REF!</definedName>
    <definedName name="fitocerrado2" localSheetId="6">#REF!</definedName>
    <definedName name="fitocerrado2">#REF!</definedName>
    <definedName name="fitomata" localSheetId="3">#REF!</definedName>
    <definedName name="fitomata" localSheetId="6">#REF!</definedName>
    <definedName name="fitomata">#REF!</definedName>
    <definedName name="fitomata1" localSheetId="3">#REF!</definedName>
    <definedName name="fitomata1" localSheetId="6">#REF!</definedName>
    <definedName name="fitomata1">#REF!</definedName>
    <definedName name="fitomataatlanticaa" localSheetId="3">#REF!</definedName>
    <definedName name="fitomataatlanticaa" localSheetId="6">#REF!</definedName>
    <definedName name="fitomataatlanticaa">#REF!</definedName>
    <definedName name="fitomatlantica" localSheetId="12">'[4]Base de dados'!#REF!</definedName>
    <definedName name="fitomatlantica" localSheetId="3">#REF!</definedName>
    <definedName name="fitomatlantica" localSheetId="6">#REF!</definedName>
    <definedName name="fitomatlantica">#REF!</definedName>
    <definedName name="fitomatlantica45" localSheetId="3">#REF!</definedName>
    <definedName name="fitomatlantica45" localSheetId="6">#REF!</definedName>
    <definedName name="fitomatlantica45">#REF!</definedName>
    <definedName name="fitomatrantica1" localSheetId="6">#REF!</definedName>
    <definedName name="fitopamapa4" localSheetId="3">#REF!</definedName>
    <definedName name="fitopamapa4" localSheetId="6">#REF!</definedName>
    <definedName name="fitopamapa4">#REF!</definedName>
    <definedName name="fitopampa" localSheetId="12">'[4]Base de dados'!#REF!</definedName>
    <definedName name="fitopampa" localSheetId="3">#REF!</definedName>
    <definedName name="fitopampa" localSheetId="6">#REF!</definedName>
    <definedName name="fitopampa">#REF!</definedName>
    <definedName name="fitopampa2" localSheetId="6">#REF!</definedName>
    <definedName name="fitopampa21" localSheetId="3">#REF!</definedName>
    <definedName name="fitopampa21" localSheetId="6">#REF!</definedName>
    <definedName name="fitopampa21">#REF!</definedName>
    <definedName name="fitopampa4" localSheetId="3">#REF!</definedName>
    <definedName name="fitopampa4" localSheetId="6">#REF!</definedName>
    <definedName name="fitopampa4">#REF!</definedName>
    <definedName name="fitopanta" localSheetId="3">#REF!</definedName>
    <definedName name="fitopanta" localSheetId="6">#REF!</definedName>
    <definedName name="fitopanta">#REF!</definedName>
    <definedName name="fitopantabal89" localSheetId="3">#REF!</definedName>
    <definedName name="fitopantabal89" localSheetId="6">#REF!</definedName>
    <definedName name="fitopantabal89">#REF!</definedName>
    <definedName name="fitopantanal" localSheetId="12">'[4]Base de dados'!#REF!</definedName>
    <definedName name="fitopantanal" localSheetId="3">#REF!</definedName>
    <definedName name="fitopantanal">#REF!</definedName>
    <definedName name="fitopantanal4" localSheetId="3">#REF!</definedName>
    <definedName name="fitopantanal4" localSheetId="6">#REF!</definedName>
    <definedName name="fitopantanal4">#REF!</definedName>
    <definedName name="flair" localSheetId="3">#REF!</definedName>
    <definedName name="flair" localSheetId="6">#REF!</definedName>
    <definedName name="flair">#REF!</definedName>
    <definedName name="flair1" localSheetId="3">#REF!</definedName>
    <definedName name="flair1" localSheetId="6">#REF!</definedName>
    <definedName name="flair1">#REF!</definedName>
    <definedName name="flair10" localSheetId="3">#REF!</definedName>
    <definedName name="flair10" localSheetId="6">#REF!</definedName>
    <definedName name="flair10">#REF!</definedName>
    <definedName name="flair2" localSheetId="3">#REF!</definedName>
    <definedName name="flair2" localSheetId="6">#REF!</definedName>
    <definedName name="flair2">#REF!</definedName>
    <definedName name="flair4" localSheetId="3">#REF!</definedName>
    <definedName name="flair4" localSheetId="6">#REF!</definedName>
    <definedName name="flair4">#REF!</definedName>
    <definedName name="flair6" localSheetId="3">#REF!</definedName>
    <definedName name="flair6" localSheetId="6">#REF!</definedName>
    <definedName name="flair6">#REF!</definedName>
    <definedName name="flair7" localSheetId="3">#REF!</definedName>
    <definedName name="flair7" localSheetId="6">#REF!</definedName>
    <definedName name="flair7">#REF!</definedName>
    <definedName name="flair9" localSheetId="3">#REF!</definedName>
    <definedName name="flair9" localSheetId="6">#REF!</definedName>
    <definedName name="flair9">#REF!</definedName>
    <definedName name="flairsim" localSheetId="3">#REF!</definedName>
    <definedName name="flairsim" localSheetId="6">#REF!</definedName>
    <definedName name="flairsim">#REF!</definedName>
    <definedName name="flairsim11" localSheetId="3">#REF!</definedName>
    <definedName name="flairsim11" localSheetId="6">#REF!</definedName>
    <definedName name="flairsim11">#REF!</definedName>
    <definedName name="flairsim7" localSheetId="3">#REF!</definedName>
    <definedName name="flairsim7" localSheetId="6">#REF!</definedName>
    <definedName name="flairsim7">#REF!</definedName>
    <definedName name="fmataa" localSheetId="3">#REF!</definedName>
    <definedName name="fmataa" localSheetId="6">#REF!</definedName>
    <definedName name="fmataa">#REF!</definedName>
    <definedName name="fmatlantica" localSheetId="3">#REF!</definedName>
    <definedName name="fmatlantica" localSheetId="6">#REF!</definedName>
    <definedName name="fmatlantica">#REF!</definedName>
    <definedName name="fmt" localSheetId="3">#REF!</definedName>
    <definedName name="fmt" localSheetId="6">#REF!</definedName>
    <definedName name="fmt">#REF!</definedName>
    <definedName name="fpampa" localSheetId="3">#REF!</definedName>
    <definedName name="fpampa" localSheetId="6">#REF!</definedName>
    <definedName name="fpampa">#REF!</definedName>
    <definedName name="fpan" localSheetId="3">#REF!</definedName>
    <definedName name="fpan" localSheetId="6">#REF!</definedName>
    <definedName name="fpan">#REF!</definedName>
    <definedName name="fpantanal" localSheetId="3">#REF!</definedName>
    <definedName name="fpantanal" localSheetId="6">#REF!</definedName>
    <definedName name="fpantanal">#REF!</definedName>
    <definedName name="ftoamazonia3" localSheetId="3">#REF!</definedName>
    <definedName name="ftoamazonia3" localSheetId="6">#REF!</definedName>
    <definedName name="ftoamazonia3">#REF!</definedName>
    <definedName name="gwp_CH4">'[2]Fatores de Emissão'!$E$215</definedName>
    <definedName name="GWP_CH4NEW" localSheetId="4">#REF!</definedName>
    <definedName name="GWP_CH4NEW" localSheetId="3">#REF!</definedName>
    <definedName name="GWP_CH4NEW" localSheetId="6">#REF!</definedName>
    <definedName name="GWP_CH4NEW">#REF!</definedName>
    <definedName name="gwp_CO2">'[2]Fatores de Emissão'!$E$214</definedName>
    <definedName name="gwp_N2O">'[2]Fatores de Emissão'!$E$216</definedName>
    <definedName name="gwp_SF6">'[2]Fatores de Emissão'!$E$286</definedName>
    <definedName name="hoiuhasf" localSheetId="4">#REF!</definedName>
    <definedName name="hoiuhasf" localSheetId="3">#REF!</definedName>
    <definedName name="hoiuhasf" localSheetId="6">#REF!</definedName>
    <definedName name="hoiuhasf">#REF!</definedName>
    <definedName name="indice_ano_frota_CH4">'[2]Fatores de Emissão'!$AF$137:$BB$138</definedName>
    <definedName name="indice_ano_frota_CO2">'[2]Fatores de Emissão'!$I$137:$AE$138</definedName>
    <definedName name="indice_ano_frota_consumo_medio">'[2]Fatores de Emissão'!$E$176:$AA$177</definedName>
    <definedName name="indice_ano_frota_N2O">'[2]Fatores de Emissão'!$BC$137:$BY$138</definedName>
    <definedName name="lista_ano">[2]Listas!$B$2:$B$9</definedName>
    <definedName name="lista_comb">[2]Listas!$F$3:$F$57</definedName>
    <definedName name="lista_gases">'[2]Fatores de Emissão'!$C$214:$C$286</definedName>
    <definedName name="lista_setor">[2]Listas!$D$2:$D$6</definedName>
    <definedName name="MAtlântica">'Apoio_Regulação do clima global'!$B$116:$B$153</definedName>
    <definedName name="n12312414" localSheetId="4">#REF!</definedName>
    <definedName name="n12312414" localSheetId="3">#REF!</definedName>
    <definedName name="n12312414" localSheetId="6">#REF!</definedName>
    <definedName name="n12312414">#REF!</definedName>
    <definedName name="nadsfsadfsadfsadfsa" localSheetId="4">#REF!</definedName>
    <definedName name="nadsfsadfsadfsadfsa" localSheetId="3">#REF!</definedName>
    <definedName name="nadsfsadfsadfsadfsa" localSheetId="6">#REF!</definedName>
    <definedName name="nadsfsadfsadfsadfsa">#REF!</definedName>
    <definedName name="nome_biodiesel">'[2]Fatores de Emissão'!$C$129</definedName>
    <definedName name="nome_compostos">'[2]Emissões fugitivas'!$AA$228</definedName>
    <definedName name="nome_etan_anidro">'[2]Fatores de Emissão'!$C$130</definedName>
    <definedName name="nome_etan_hidrat">'[2]Fatores de Emissão'!$C$128</definedName>
    <definedName name="nome_gaso_A">'[2]Fatores de Emissão'!$C$115</definedName>
    <definedName name="nome_HFC">'[2]Emissões fugitivas'!$AA$226</definedName>
    <definedName name="nome_oleo_diesel">'[2]Fatores de Emissão'!$C$116</definedName>
    <definedName name="nome_PFC">'[2]Emissões fugitivas'!$AA$227</definedName>
    <definedName name="novonome" localSheetId="3">#REF!</definedName>
    <definedName name="novonome">#REF!</definedName>
    <definedName name="novonomebioma" localSheetId="3">#REF!</definedName>
    <definedName name="novonomebioma">#REF!</definedName>
    <definedName name="Pampa">'Apoio_Regulação do clima global'!$B$155:$B$174</definedName>
    <definedName name="Pantanal">'Apoio_Regulação do clima global'!$B$176:$B$192</definedName>
    <definedName name="perc_biod_abr">'[2]Fatores Variáveis'!$H$40</definedName>
    <definedName name="perc_biod_ago">'[2]Fatores Variáveis'!$L$40</definedName>
    <definedName name="perc_biod_anual">'[2]Fatores Variáveis'!$Q$40</definedName>
    <definedName name="perc_biod_dez">'[2]Fatores Variáveis'!$P$40</definedName>
    <definedName name="perc_biod_fev">'[2]Fatores Variáveis'!$F$40</definedName>
    <definedName name="perc_biod_jan">'[2]Fatores Variáveis'!$E$40</definedName>
    <definedName name="perc_biod_jul">'[2]Fatores Variáveis'!$K$40</definedName>
    <definedName name="perc_biod_jun">'[2]Fatores Variáveis'!$J$40</definedName>
    <definedName name="perc_biod_mai">'[2]Fatores Variáveis'!$I$40</definedName>
    <definedName name="perc_biod_mar">'[2]Fatores Variáveis'!$G$40</definedName>
    <definedName name="perc_biod_nov">'[2]Fatores Variáveis'!$O$40</definedName>
    <definedName name="perc_biod_out">'[2]Fatores Variáveis'!$N$40</definedName>
    <definedName name="perc_biod_set">'[2]Fatores Variáveis'!$M$40</definedName>
    <definedName name="perc_etanol_abr">'[2]Fatores Variáveis'!$H$39</definedName>
    <definedName name="perc_etanol_ago">'[2]Fatores Variáveis'!$L$39</definedName>
    <definedName name="perc_etanol_anual">'[2]Fatores Variáveis'!$Q$39</definedName>
    <definedName name="perc_etanol_dez">'[2]Fatores Variáveis'!$P$39</definedName>
    <definedName name="perc_etanol_fev">'[2]Fatores Variáveis'!$F$39</definedName>
    <definedName name="perc_etanol_jan">'[2]Fatores Variáveis'!$E$39</definedName>
    <definedName name="perc_etanol_jul">'[2]Fatores Variáveis'!$K$39</definedName>
    <definedName name="perc_etanol_jun">'[2]Fatores Variáveis'!$J$39</definedName>
    <definedName name="perc_etanol_mai">'[2]Fatores Variáveis'!$I$39</definedName>
    <definedName name="perc_etanol_mar">'[2]Fatores Variáveis'!$G$39</definedName>
    <definedName name="perc_etanol_nov">'[2]Fatores Variáveis'!$O$39</definedName>
    <definedName name="perc_etanol_out">'[2]Fatores Variáveis'!$N$39</definedName>
    <definedName name="perc_etanol_set">'[2]Fatores Variáveis'!$M$39</definedName>
    <definedName name="picture">"Picture32"</definedName>
    <definedName name="precipataçao" localSheetId="4">#REF!</definedName>
    <definedName name="precipataçao" localSheetId="3">#REF!</definedName>
    <definedName name="precipataçao" localSheetId="6">#REF!</definedName>
    <definedName name="precipataçao">#REF!</definedName>
    <definedName name="precipataçao1">'[3]Base de Dados'!$B$19:$B$21</definedName>
    <definedName name="precititacaoo" localSheetId="4">#REF!</definedName>
    <definedName name="precititacaoo" localSheetId="3">#REF!</definedName>
    <definedName name="precititacaoo" localSheetId="6">#REF!</definedName>
    <definedName name="precititacaoo">#REF!</definedName>
    <definedName name="qewfasdfsaf">[1]Dados!$B$27:$B$30</definedName>
    <definedName name="qwe" localSheetId="4">#REF!</definedName>
    <definedName name="qwe" localSheetId="3">#REF!</definedName>
    <definedName name="qwe" localSheetId="6">#REF!</definedName>
    <definedName name="qwe">#REF!</definedName>
    <definedName name="qwreqwer" localSheetId="4">#REF!</definedName>
    <definedName name="qwreqwer" localSheetId="3">#REF!</definedName>
    <definedName name="qwreqwer" localSheetId="6">#REF!</definedName>
    <definedName name="qwreqwer">#REF!</definedName>
    <definedName name="RH">'Apoio_Regulação Qualidade Água'!$A$141:$A$143</definedName>
    <definedName name="sel" localSheetId="4">#REF!</definedName>
    <definedName name="sel" localSheetId="3">#REF!</definedName>
    <definedName name="sel" localSheetId="6">'Regulação Qualidade da Água'!$W$8</definedName>
    <definedName name="sel">#REF!</definedName>
    <definedName name="selecion315" localSheetId="3">#REF!</definedName>
    <definedName name="selecion315" localSheetId="6">#REF!</definedName>
    <definedName name="selecion315">#REF!</definedName>
    <definedName name="Selecione" localSheetId="3">#REF!</definedName>
    <definedName name="Selecione" localSheetId="6">#REF!</definedName>
    <definedName name="Selecione">#REF!</definedName>
    <definedName name="Selecione1" localSheetId="12">'[4]Base de dados'!#REF!</definedName>
    <definedName name="Selecione1" localSheetId="3">#REF!</definedName>
    <definedName name="Selecione1" localSheetId="6">#REF!</definedName>
    <definedName name="Selecione1">#REF!</definedName>
    <definedName name="selecione11" localSheetId="3">#REF!</definedName>
    <definedName name="selecione11" localSheetId="6">#REF!</definedName>
    <definedName name="selecione11">#REF!</definedName>
    <definedName name="selecione32" localSheetId="3">#REF!</definedName>
    <definedName name="selecione32" localSheetId="6">#REF!</definedName>
    <definedName name="selecione32">#REF!</definedName>
    <definedName name="selecione4" localSheetId="3">#REF!</definedName>
    <definedName name="selecione4" localSheetId="6">#REF!</definedName>
    <definedName name="selecione4">#REF!</definedName>
    <definedName name="selecione45" localSheetId="3">#REF!</definedName>
    <definedName name="selecione45" localSheetId="6">#REF!</definedName>
    <definedName name="selecione45">#REF!</definedName>
    <definedName name="selecione67" localSheetId="3">#REF!</definedName>
    <definedName name="selecione67" localSheetId="6">#REF!</definedName>
    <definedName name="selecione67">#REF!</definedName>
    <definedName name="selecione7" localSheetId="3">#REF!</definedName>
    <definedName name="selecione7" localSheetId="6">#REF!</definedName>
    <definedName name="selecione7">#REF!</definedName>
    <definedName name="selecione89" localSheetId="3">#REF!</definedName>
    <definedName name="selecione89" localSheetId="6">#REF!</definedName>
    <definedName name="selecione89">#REF!</definedName>
    <definedName name="selecione9" localSheetId="3">#REF!</definedName>
    <definedName name="selecione9" localSheetId="6">#REF!</definedName>
    <definedName name="selecione9">#REF!</definedName>
    <definedName name="selgeração" localSheetId="3">#REF!</definedName>
    <definedName name="selgeração" localSheetId="6">#REF!</definedName>
    <definedName name="selgeração">#REF!</definedName>
    <definedName name="selii" localSheetId="3">#REF!</definedName>
    <definedName name="selii" localSheetId="6">#REF!</definedName>
    <definedName name="selii">#REF!</definedName>
    <definedName name="selmadeireiro" localSheetId="3">#REF!</definedName>
    <definedName name="selmadeireiro" localSheetId="6">#REF!</definedName>
    <definedName name="selmadeireiro">#REF!</definedName>
    <definedName name="selprecipitação" localSheetId="3">#REF!</definedName>
    <definedName name="selprecipitação" localSheetId="6">#REF!</definedName>
    <definedName name="selprecipitação">#REF!</definedName>
    <definedName name="seltemperatura" localSheetId="3">#REF!</definedName>
    <definedName name="seltemperatura" localSheetId="6">#REF!</definedName>
    <definedName name="seltemperatura">#REF!</definedName>
    <definedName name="seltipoonibus" localSheetId="3">#REF!</definedName>
    <definedName name="seltipoonibus" localSheetId="6">#REF!</definedName>
    <definedName name="seltipoonibus">#REF!</definedName>
    <definedName name="setor">'Plano de Trabalho'!$C$5</definedName>
    <definedName name="simanaoo" localSheetId="4">#REF!</definedName>
    <definedName name="simanaoo" localSheetId="3">#REF!</definedName>
    <definedName name="simanaoo" localSheetId="6">#REF!</definedName>
    <definedName name="simanaoo">#REF!</definedName>
    <definedName name="simanoah" localSheetId="4">#REF!</definedName>
    <definedName name="simanoah" localSheetId="3">#REF!</definedName>
    <definedName name="simanoah" localSheetId="6">#REF!</definedName>
    <definedName name="simanoah">#REF!</definedName>
    <definedName name="simanoooo" localSheetId="4">#REF!</definedName>
    <definedName name="simanoooo" localSheetId="3">#REF!</definedName>
    <definedName name="simanoooo" localSheetId="6">#REF!</definedName>
    <definedName name="simanoooo">#REF!</definedName>
    <definedName name="simaoo" localSheetId="3">#REF!</definedName>
    <definedName name="simaoo" localSheetId="6">#REF!</definedName>
    <definedName name="simaoo">#REF!</definedName>
    <definedName name="simdefalutt" localSheetId="3">#REF!</definedName>
    <definedName name="simdefalutt" localSheetId="6">#REF!</definedName>
    <definedName name="simdefalutt">#REF!</definedName>
    <definedName name="simdefault" localSheetId="3">#REF!</definedName>
    <definedName name="simdefault" localSheetId="6">#REF!</definedName>
    <definedName name="simdefault">#REF!</definedName>
    <definedName name="Simdefault1" localSheetId="3">#REF!</definedName>
    <definedName name="Simdefault1" localSheetId="6">#REF!</definedName>
    <definedName name="Simdefault1">#REF!</definedName>
    <definedName name="simdefault123">'[3]Base de Dados'!$C$15:$C$17</definedName>
    <definedName name="Simdefault2" localSheetId="4">#REF!</definedName>
    <definedName name="Simdefault2" localSheetId="3">#REF!</definedName>
    <definedName name="Simdefault2" localSheetId="6">#REF!</definedName>
    <definedName name="Simdefault2">#REF!</definedName>
    <definedName name="simdefault23" localSheetId="4">#REF!</definedName>
    <definedName name="simdefault23" localSheetId="3">#REF!</definedName>
    <definedName name="simdefault23" localSheetId="6">#REF!</definedName>
    <definedName name="simdefault23">#REF!</definedName>
    <definedName name="simnao" localSheetId="12">'[4]Base de dados'!#REF!</definedName>
    <definedName name="simnao">'Apoio_Regulação do clima global'!$F$8:$F$10</definedName>
    <definedName name="simnao100" localSheetId="3">#REF!</definedName>
    <definedName name="simnao100" localSheetId="6">#REF!</definedName>
    <definedName name="simnao100">#REF!</definedName>
    <definedName name="simnao11" localSheetId="3">#REF!</definedName>
    <definedName name="simnao11" localSheetId="6">#REF!</definedName>
    <definedName name="simnao11">#REF!</definedName>
    <definedName name="simnao13" localSheetId="3">#REF!</definedName>
    <definedName name="simnao13" localSheetId="6">#REF!</definedName>
    <definedName name="simnao13">#REF!</definedName>
    <definedName name="simnao134">'[3]Base de Dados'!$B$15:$B$17</definedName>
    <definedName name="simnao15" localSheetId="4">#REF!</definedName>
    <definedName name="simnao15" localSheetId="3">#REF!</definedName>
    <definedName name="simnao15" localSheetId="6">#REF!</definedName>
    <definedName name="simnao15">#REF!</definedName>
    <definedName name="simnao2" localSheetId="4">#REF!</definedName>
    <definedName name="simnao2" localSheetId="3">#REF!</definedName>
    <definedName name="simnao2" localSheetId="6">#REF!</definedName>
    <definedName name="simnao2">#REF!</definedName>
    <definedName name="simnao40" localSheetId="4">#REF!</definedName>
    <definedName name="simnao40" localSheetId="3">#REF!</definedName>
    <definedName name="simnao40" localSheetId="6">#REF!</definedName>
    <definedName name="simnao40">#REF!</definedName>
    <definedName name="simnao5" localSheetId="3">#REF!</definedName>
    <definedName name="simnao5" localSheetId="6">#REF!</definedName>
    <definedName name="simnao5">#REF!</definedName>
    <definedName name="simnao56" localSheetId="3">#REF!</definedName>
    <definedName name="simnao56" localSheetId="6">#REF!</definedName>
    <definedName name="simnao56">#REF!</definedName>
    <definedName name="simnao76" localSheetId="3">#REF!</definedName>
    <definedName name="simnao76" localSheetId="6">#REF!</definedName>
    <definedName name="simnao76">#REF!</definedName>
    <definedName name="simnao9" localSheetId="3">#REF!</definedName>
    <definedName name="simnao9" localSheetId="6">#REF!</definedName>
    <definedName name="simnao9">#REF!</definedName>
    <definedName name="simnaonovo">'Apoio_Regulação do clima global'!$F$9:$F$10</definedName>
    <definedName name="simnaoo" localSheetId="3">#REF!</definedName>
    <definedName name="simnaoo" localSheetId="6">#REF!</definedName>
    <definedName name="simnaoo">#REF!</definedName>
    <definedName name="simnaoooo" localSheetId="3">#REF!</definedName>
    <definedName name="simnaoooo" localSheetId="6">#REF!</definedName>
    <definedName name="simnaoooo">#REF!</definedName>
    <definedName name="simnaooooo" localSheetId="3">#REF!</definedName>
    <definedName name="simnaooooo" localSheetId="6">#REF!</definedName>
    <definedName name="simnaooooo">#REF!</definedName>
    <definedName name="simnaos" localSheetId="3">#REF!</definedName>
    <definedName name="simnaos" localSheetId="6">#REF!</definedName>
    <definedName name="simnaos">#REF!</definedName>
    <definedName name="sn" localSheetId="3">#REF!</definedName>
    <definedName name="sn" localSheetId="6">#REF!</definedName>
    <definedName name="sn">#REF!</definedName>
    <definedName name="snd" localSheetId="3">#REF!</definedName>
    <definedName name="snd" localSheetId="6">#REF!</definedName>
    <definedName name="snd">#REF!</definedName>
    <definedName name="Subterrânea">'Apoio_Regulação Qualidade Água'!$H$8:$H$103</definedName>
    <definedName name="Superfície">'Apoio_Regulação Qualidade Água'!$A$8:$A$136</definedName>
    <definedName name="SZDszd" localSheetId="3">#REF!</definedName>
    <definedName name="SZDszd" localSheetId="6">#REF!</definedName>
    <definedName name="SZDszd">#REF!</definedName>
    <definedName name="tab_consumo_medio_frota">'[2]Fatores de Emissão'!$C$178:$AA$193</definedName>
    <definedName name="tab_FE_ced">'[2]Fatores de Emissão'!$B$47:$AB$105</definedName>
    <definedName name="tab_FE_CM_combustivel">'[2]Fatores de Emissão'!$C$115:$J$130</definedName>
    <definedName name="tab_FE_CM_frota">'[2]Fatores de Emissão'!$H$139:$BY$170</definedName>
    <definedName name="tab_FE_CM_frota_biocomb">'[2]Fatores de Emissão'!$H$164:$BY$170</definedName>
    <definedName name="tab_FE_CM_frota_fossil">'[2]Fatores de Emissão'!$H$139:$BY$158</definedName>
    <definedName name="tab_FE_VN">'[2]Fatores de Emissão'!$C$205:$G$207</definedName>
    <definedName name="tab_setores">'[2]Fatores de Emissão'!$K$46:$R$46</definedName>
    <definedName name="temp" localSheetId="4">#REF!</definedName>
    <definedName name="temp" localSheetId="3">#REF!</definedName>
    <definedName name="temp" localSheetId="6">#REF!</definedName>
    <definedName name="temp">#REF!</definedName>
    <definedName name="temp123">'[3]Base de Dados'!$B$23:$B$25</definedName>
    <definedName name="tempar" localSheetId="4">#REF!</definedName>
    <definedName name="tempar" localSheetId="3">#REF!</definedName>
    <definedName name="tempar" localSheetId="6">#REF!</definedName>
    <definedName name="tempar">#REF!</definedName>
    <definedName name="temperaf" localSheetId="4">#REF!</definedName>
    <definedName name="temperaf" localSheetId="3">#REF!</definedName>
    <definedName name="temperaf" localSheetId="6">#REF!</definedName>
    <definedName name="temperaf">#REF!</definedName>
    <definedName name="temperatura" localSheetId="4">#REF!</definedName>
    <definedName name="temperatura" localSheetId="3">#REF!</definedName>
    <definedName name="temperatura" localSheetId="6">#REF!</definedName>
    <definedName name="temperatura">#REF!</definedName>
    <definedName name="temperatura123" localSheetId="4">'[3]Base de Dados'!#REF!</definedName>
    <definedName name="temperatura123" localSheetId="3">'[3]Base de Dados'!#REF!</definedName>
    <definedName name="temperatura123" localSheetId="6">'[3]Base de Dados'!#REF!</definedName>
    <definedName name="temperatura123">'[3]Base de Dados'!#REF!</definedName>
    <definedName name="tipoonibus" localSheetId="4">#REF!</definedName>
    <definedName name="tipoonibus" localSheetId="3">#REF!</definedName>
    <definedName name="tipoonibus" localSheetId="6">#REF!</definedName>
    <definedName name="tipoonibus">#REF!</definedName>
    <definedName name="total_AA_biomassa">'[2]Atividades agrícolas'!$F$54</definedName>
    <definedName name="total_AA_CH4">'[2]Atividades agrícolas'!$AE$32</definedName>
    <definedName name="total_AA_CO2">'[2]Atividades agrícolas'!$AE$31</definedName>
    <definedName name="total_AA_escopo1">'[2]Atividades agrícolas'!$F$52</definedName>
    <definedName name="total_AA_Gases_R">'[2]Atividades agrícolas'!$AE$53:$AE$95</definedName>
    <definedName name="total_AA_Gases_R_CO2e">'[2]Atividades agrícolas'!$AF$53:$AF$95</definedName>
    <definedName name="total_AA_HFC">'[2]Atividades agrícolas'!$AE$34:$AE$52</definedName>
    <definedName name="total_AA_HFC_CO2e">'[2]Atividades agrícolas'!$AF$34:$AF$52</definedName>
    <definedName name="total_AA_N2O">'[2]Atividades agrícolas'!$AE$33</definedName>
    <definedName name="total_AA_PFC">'[2]Atividades agrícolas'!$AE$96:$AE$102</definedName>
    <definedName name="total_AA_PFC_CO2e">'[2]Atividades agrícolas'!$AF$96:$AF$102</definedName>
    <definedName name="total_AA_SF6">'[2]Atividades agrícolas'!$AE$103</definedName>
    <definedName name="total_Cat1_CH4">'[2]Categorias de Escopo 3'!$C$26</definedName>
    <definedName name="total_Cat1_CO2">'[2]Categorias de Escopo 3'!$C$25</definedName>
    <definedName name="total_Cat1_CO2_biomassa">'[2]Categorias de Escopo 3'!$C$33</definedName>
    <definedName name="total_Cat1_CO2e">'[2]Categorias de Escopo 3'!$D$31</definedName>
    <definedName name="total_Cat1_HFC">'[2]Categorias de Escopo 3'!$C$28</definedName>
    <definedName name="total_Cat1_N2O">'[2]Categorias de Escopo 3'!$C$27</definedName>
    <definedName name="total_Cat1_PFC">'[2]Categorias de Escopo 3'!$C$29</definedName>
    <definedName name="total_Cat1_SF6">'[2]Categorias de Escopo 3'!$C$30</definedName>
    <definedName name="total_Cat10_CH4">'[2]Categorias de Escopo 3'!$E$54</definedName>
    <definedName name="total_Cat10_CO2">'[2]Categorias de Escopo 3'!$E$53</definedName>
    <definedName name="total_Cat10_CO2_biomassa">'[2]Categorias de Escopo 3'!$E$61</definedName>
    <definedName name="total_Cat10_CO2e">'[2]Categorias de Escopo 3'!$F$59</definedName>
    <definedName name="total_Cat10_HFC">'[2]Categorias de Escopo 3'!$E$56</definedName>
    <definedName name="total_Cat10_N2O">'[2]Categorias de Escopo 3'!$E$55</definedName>
    <definedName name="total_Cat10_PFC">'[2]Categorias de Escopo 3'!$E$57</definedName>
    <definedName name="total_Cat10_SF6">'[2]Categorias de Escopo 3'!$E$58</definedName>
    <definedName name="total_Cat11_CH4">'[2]Categorias de Escopo 3'!$G$54</definedName>
    <definedName name="total_Cat11_CO2">'[2]Categorias de Escopo 3'!$G$53</definedName>
    <definedName name="total_Cat11_CO2_biomassa">'[2]Categorias de Escopo 3'!$G$61</definedName>
    <definedName name="total_Cat11_CO2e">'[2]Categorias de Escopo 3'!$H$59</definedName>
    <definedName name="total_Cat11_HFC">'[2]Categorias de Escopo 3'!$G$56</definedName>
    <definedName name="total_Cat11_N2O">'[2]Categorias de Escopo 3'!$G$55</definedName>
    <definedName name="total_Cat11_PFC">'[2]Categorias de Escopo 3'!$G$57</definedName>
    <definedName name="total_Cat11_SF6">'[2]Categorias de Escopo 3'!$G$58</definedName>
    <definedName name="total_Cat12_CH4">'[2]Categorias de Escopo 3'!$I$54</definedName>
    <definedName name="total_Cat12_CO2">'[2]Categorias de Escopo 3'!$I$53</definedName>
    <definedName name="total_Cat12_CO2_biomassa">'[2]Categorias de Escopo 3'!$I$61</definedName>
    <definedName name="total_Cat12_CO2e">'[2]Categorias de Escopo 3'!$J$59</definedName>
    <definedName name="total_Cat12_HFC">'[2]Categorias de Escopo 3'!$I$56</definedName>
    <definedName name="total_Cat12_N2O">'[2]Categorias de Escopo 3'!$I$55</definedName>
    <definedName name="total_Cat12_PFC">'[2]Categorias de Escopo 3'!$I$57</definedName>
    <definedName name="total_Cat12_SF6">'[2]Categorias de Escopo 3'!$I$58</definedName>
    <definedName name="total_Cat13_CH4">'[2]Categorias de Escopo 3'!$C$68</definedName>
    <definedName name="total_Cat13_CO2">'[2]Categorias de Escopo 3'!$C$67</definedName>
    <definedName name="total_Cat13_CO2_biomassa">'[2]Categorias de Escopo 3'!$C$75</definedName>
    <definedName name="total_Cat13_CO2e">'[2]Categorias de Escopo 3'!$D$73</definedName>
    <definedName name="total_Cat13_HFC">'[2]Categorias de Escopo 3'!$C$70</definedName>
    <definedName name="total_Cat13_N2O">'[2]Categorias de Escopo 3'!$C$69</definedName>
    <definedName name="total_Cat13_PFC">'[2]Categorias de Escopo 3'!$C$71</definedName>
    <definedName name="total_Cat13_SF6">'[2]Categorias de Escopo 3'!$C$72</definedName>
    <definedName name="total_Cat14_CH4">'[2]Categorias de Escopo 3'!$E$68</definedName>
    <definedName name="total_Cat14_CO2">'[2]Categorias de Escopo 3'!$E$67</definedName>
    <definedName name="total_Cat14_CO2_biomassa">'[2]Categorias de Escopo 3'!$E$75</definedName>
    <definedName name="total_Cat14_CO2e">'[2]Categorias de Escopo 3'!$F$73</definedName>
    <definedName name="total_Cat14_HFC">'[2]Categorias de Escopo 3'!$E$70</definedName>
    <definedName name="total_Cat14_N2O">'[2]Categorias de Escopo 3'!$E$69</definedName>
    <definedName name="total_Cat14_PFC">'[2]Categorias de Escopo 3'!$E$71</definedName>
    <definedName name="total_Cat14_SF6">'[2]Categorias de Escopo 3'!$E$72</definedName>
    <definedName name="total_Cat15_CH4">'[2]Categorias de Escopo 3'!$G$68</definedName>
    <definedName name="total_Cat15_CO2">'[2]Categorias de Escopo 3'!$G$67</definedName>
    <definedName name="total_Cat15_CO2_biomassa">'[2]Categorias de Escopo 3'!$G$75</definedName>
    <definedName name="total_Cat15_CO2e">'[2]Categorias de Escopo 3'!$H$73</definedName>
    <definedName name="total_Cat15_HFC">'[2]Categorias de Escopo 3'!$G$70</definedName>
    <definedName name="total_Cat15_N2O">'[2]Categorias de Escopo 3'!$G$69</definedName>
    <definedName name="total_Cat15_PFC">'[2]Categorias de Escopo 3'!$G$71</definedName>
    <definedName name="total_Cat15_SF6">'[2]Categorias de Escopo 3'!$G$72</definedName>
    <definedName name="total_Cat2_CH4">'[2]Categorias de Escopo 3'!$E$26</definedName>
    <definedName name="total_Cat2_CO2">'[2]Categorias de Escopo 3'!$E$25</definedName>
    <definedName name="total_Cat2_CO2_biomassa">'[2]Categorias de Escopo 3'!$E$33</definedName>
    <definedName name="total_Cat2_CO2e">'[2]Categorias de Escopo 3'!$F$31</definedName>
    <definedName name="total_Cat2_HFC">'[2]Categorias de Escopo 3'!$E$28</definedName>
    <definedName name="total_Cat2_N2O">'[2]Categorias de Escopo 3'!$E$27</definedName>
    <definedName name="total_Cat2_PFC">'[2]Categorias de Escopo 3'!$E$29</definedName>
    <definedName name="total_Cat2_SF6">'[2]Categorias de Escopo 3'!$E$30</definedName>
    <definedName name="total_Cat3_CH4">'[2]Categorias de Escopo 3'!$G$26</definedName>
    <definedName name="total_Cat3_CO2">'[2]Categorias de Escopo 3'!$G$25</definedName>
    <definedName name="total_Cat3_CO2_biomassa">'[2]Categorias de Escopo 3'!$G$33</definedName>
    <definedName name="total_Cat3_CO2e">'[2]Categorias de Escopo 3'!$H$31</definedName>
    <definedName name="total_Cat3_HFC">'[2]Categorias de Escopo 3'!$G$28</definedName>
    <definedName name="total_Cat3_N2O">'[2]Categorias de Escopo 3'!$G$27</definedName>
    <definedName name="total_Cat3_PFC">'[2]Categorias de Escopo 3'!$G$29</definedName>
    <definedName name="total_Cat3_SF6">'[2]Categorias de Escopo 3'!$G$30</definedName>
    <definedName name="total_Cat4_CH4">'[2]Categorias de Escopo 3'!$I$26</definedName>
    <definedName name="total_Cat4_CO2">'[2]Categorias de Escopo 3'!$I$25</definedName>
    <definedName name="total_Cat4_CO2_biomassa">'[2]Categorias de Escopo 3'!$I$33</definedName>
    <definedName name="total_Cat4_CO2e">'[2]Categorias de Escopo 3'!$J$31</definedName>
    <definedName name="total_Cat4_N2O">'[2]Categorias de Escopo 3'!$I$27</definedName>
    <definedName name="total_Cat5_CH4">'[2]Categorias de Escopo 3'!$C$40</definedName>
    <definedName name="total_Cat5_CO2">'[2]Categorias de Escopo 3'!$C$39</definedName>
    <definedName name="total_Cat5_CO2_biomassa">'[2]Categorias de Escopo 3'!$C$47</definedName>
    <definedName name="total_Cat5_CO2e">'[2]Categorias de Escopo 3'!$D$45</definedName>
    <definedName name="total_Cat5_N2O">'[2]Categorias de Escopo 3'!$C$41</definedName>
    <definedName name="total_Cat6_CH4">'[2]Categorias de Escopo 3'!$E$40</definedName>
    <definedName name="total_Cat6_CO2">'[2]Categorias de Escopo 3'!$E$39</definedName>
    <definedName name="total_Cat6_CO2_biomassa">'[2]Categorias de Escopo 3'!$E$47</definedName>
    <definedName name="total_Cat6_CO2e">'[2]Categorias de Escopo 3'!$F$45</definedName>
    <definedName name="total_Cat6_N2O">'[2]Categorias de Escopo 3'!$E$41</definedName>
    <definedName name="total_Cat7_CH4">'[2]Categorias de Escopo 3'!$G$40</definedName>
    <definedName name="total_Cat7_CO2">'[2]Categorias de Escopo 3'!$G$39</definedName>
    <definedName name="total_Cat7_CO2_biomassa">'[2]Categorias de Escopo 3'!$G$47</definedName>
    <definedName name="total_Cat7_CO2e">'[2]Categorias de Escopo 3'!$H$45</definedName>
    <definedName name="total_Cat7_HFC">'[2]Categorias de Escopo 3'!$G$42</definedName>
    <definedName name="total_Cat7_N2O">'[2]Categorias de Escopo 3'!$G$41</definedName>
    <definedName name="total_Cat7_PFC">'[2]Categorias de Escopo 3'!$G$43</definedName>
    <definedName name="total_Cat7_SF6">'[2]Categorias de Escopo 3'!$G$44</definedName>
    <definedName name="total_Cat8_CH4">'[2]Categorias de Escopo 3'!$I$40</definedName>
    <definedName name="total_Cat8_CO2">'[2]Categorias de Escopo 3'!$I$39</definedName>
    <definedName name="total_Cat8_CO2_biomassa">'[2]Categorias de Escopo 3'!$I$47</definedName>
    <definedName name="total_Cat8_CO2e">'[2]Categorias de Escopo 3'!$J$45</definedName>
    <definedName name="total_Cat8_HFC">'[2]Categorias de Escopo 3'!$I$42</definedName>
    <definedName name="total_Cat8_N2O">'[2]Categorias de Escopo 3'!$I$41</definedName>
    <definedName name="total_Cat8_PFC">'[2]Categorias de Escopo 3'!$I$43</definedName>
    <definedName name="total_Cat8_SF6">'[2]Categorias de Escopo 3'!$I$44</definedName>
    <definedName name="total_Cat9_CH4">'[2]Categorias de Escopo 3'!$C$54</definedName>
    <definedName name="total_Cat9_CO2">'[2]Categorias de Escopo 3'!$C$53</definedName>
    <definedName name="total_Cat9_CO2_biomassa">'[2]Categorias de Escopo 3'!$C$61</definedName>
    <definedName name="total_Cat9_CO2e">'[2]Categorias de Escopo 3'!$D$59</definedName>
    <definedName name="total_Cat9_N2O">'[2]Categorias de Escopo 3'!$C$55</definedName>
    <definedName name="total_CED_biomassa">'[2]Combustão estacionária'!$E$157</definedName>
    <definedName name="total_CED_CH4">'[2]Combustão estacionária'!$J$134</definedName>
    <definedName name="total_CED_CH4_biomassa">'[2]Combustão estacionária'!$J$148</definedName>
    <definedName name="total_CED_CO2">'[2]Combustão estacionária'!$I$134</definedName>
    <definedName name="total_CED_escopo1">'[2]Combustão estacionária'!$E$155</definedName>
    <definedName name="total_CED_N2O">'[2]Combustão estacionária'!$K$134</definedName>
    <definedName name="total_CED_N2O_biomassa">'[2]Combustão estacionária'!$K$148</definedName>
    <definedName name="total_CMD_aereo_CH4">'[2]Combustão móvel'!$H$269</definedName>
    <definedName name="total_CMD_aereo_CO2">'[2]Combustão móvel'!$G$269</definedName>
    <definedName name="total_CMD_aereo_N2O">'[2]Combustão móvel'!$I$269</definedName>
    <definedName name="total_CMD_biomassa">'[2]Combustão móvel'!$F$278</definedName>
    <definedName name="total_CMD_escopo1">'[2]Combustão móvel'!$F$276</definedName>
    <definedName name="total_CMD_ferro_CH4">'[2]Combustão móvel'!$H$193</definedName>
    <definedName name="total_CMD_ferro_CO2">'[2]Combustão móvel'!$G$193</definedName>
    <definedName name="total_CMD_ferro_N2O">'[2]Combustão móvel'!$I$193</definedName>
    <definedName name="total_CMD_hidro_CH4">'[2]Combustão móvel'!$H$229</definedName>
    <definedName name="total_CMD_hidro_CO2">'[2]Combustão móvel'!$G$229</definedName>
    <definedName name="total_CMD_hidro_N2O">'[2]Combustão móvel'!$I$229</definedName>
    <definedName name="total_CMD_rod_CH4">'[2]Combustão móvel'!$G$156</definedName>
    <definedName name="total_CMD_rod_CO2">'[2]Combustão móvel'!$F$156</definedName>
    <definedName name="total_CMD_rod_N2O">'[2]Combustão móvel'!$H$156</definedName>
    <definedName name="total_CV_biomassa">'[2]Compra de Energia Térmica'!$F$110</definedName>
    <definedName name="total_CV_CH4">'[2]Compra de Energia Térmica'!$G$89</definedName>
    <definedName name="total_CV_CH4_biomassa">'[2]Compra de Energia Térmica'!$G$103</definedName>
    <definedName name="total_CV_CO2">'[2]Compra de Energia Térmica'!$F$89</definedName>
    <definedName name="total_CV_escopo2">'[2]Compra de Energia Térmica'!$F$108</definedName>
    <definedName name="total_CV_N2O">'[2]Compra de Energia Térmica'!$H$89</definedName>
    <definedName name="total_CV_N2O_biomassa">'[2]Compra de Energia Térmica'!$H$103</definedName>
    <definedName name="total_EF_CH4">'[2]Emissões fugitivas'!$F$226</definedName>
    <definedName name="total_EF_CO2">'[2]Emissões fugitivas'!$F$225</definedName>
    <definedName name="total_EF_escopo1">'[2]Emissões fugitivas'!$F$209</definedName>
    <definedName name="total_EF_Gases_R">'[2]Emissões fugitivas'!$F$247:$F$289</definedName>
    <definedName name="total_EF_Gases_R_CO2e">'[2]Emissões fugitivas'!$G$247:$G$289</definedName>
    <definedName name="total_EF_HFC">'[2]Emissões fugitivas'!$F$228:$F$246</definedName>
    <definedName name="total_EF_HFC_CO2e">'[2]Emissões fugitivas'!$G$228:$G$246</definedName>
    <definedName name="total_EF_N2O">'[2]Emissões fugitivas'!$F$227</definedName>
    <definedName name="Total_EF_PFC">'[2]Emissões fugitivas'!$F$290:$F$296</definedName>
    <definedName name="Total_EF_PFC_CO2e">'[2]Emissões fugitivas'!$G$290:$G$296</definedName>
    <definedName name="total_EF_SF6">'[2]Emissões fugitivas'!$F$297</definedName>
    <definedName name="total_EFL_biomassa">[2]Efluentes!$D$120</definedName>
    <definedName name="total_EFL_biomassa_E3">'[2]Efluentes gerados na operação'!$D$120:$E$120</definedName>
    <definedName name="total_EFL_CH4">[2]Efluentes!$E$109</definedName>
    <definedName name="total_EFL_CH4_E3">'[2]Efluentes gerados na operação'!$E$109</definedName>
    <definedName name="total_EFL_escopo1">[2]Efluentes!$D$118</definedName>
    <definedName name="total_EFL_N2O">[2]Efluentes!$E$110</definedName>
    <definedName name="total_EFL_N2O_E3">'[2]Efluentes gerados na operação'!$E$110</definedName>
    <definedName name="total_HFC_CO2e_Cat1">'[2]Categorias de Escopo 3'!$D$28</definedName>
    <definedName name="total_HFC_CO2e_Cat10">'[2]Categorias de Escopo 3'!$F$56</definedName>
    <definedName name="total_HFC_CO2e_Cat11">'[2]Categorias de Escopo 3'!$H$56</definedName>
    <definedName name="total_HFC_CO2e_Cat12">'[2]Categorias de Escopo 3'!$J$56</definedName>
    <definedName name="total_HFC_CO2e_Cat13">'[2]Categorias de Escopo 3'!$D$70</definedName>
    <definedName name="total_HFC_CO2e_Cat14">'[2]Categorias de Escopo 3'!$F$70</definedName>
    <definedName name="total_HFC_CO2e_Cat15">'[2]Categorias de Escopo 3'!$H$70</definedName>
    <definedName name="total_HFC_CO2e_Cat2">'[2]Categorias de Escopo 3'!$F$28</definedName>
    <definedName name="total_HFC_CO2e_Cat3">'[2]Categorias de Escopo 3'!$H$28</definedName>
    <definedName name="total_HFC_CO2e_Cat7">'[2]Categorias de Escopo 3'!$H$42</definedName>
    <definedName name="total_HFC_CO2e_Cat8">'[2]Categorias de Escopo 3'!$J$42</definedName>
    <definedName name="total_HFC_OutrasEmissoes_CO2e">'[2]Categorias de Escopo 3'!$J$70</definedName>
    <definedName name="total_OutrasEmissoes_biomassa">'[2]Categorias de Escopo 3'!$I$75</definedName>
    <definedName name="total_OutrasEmissoes_CH4">'[2]Categorias de Escopo 3'!$I$68</definedName>
    <definedName name="total_OutrasEmissoes_CO2">'[2]Categorias de Escopo 3'!$I$67</definedName>
    <definedName name="total_OutrasEmissoes_CO2e">'[2]Categorias de Escopo 3'!$J$73</definedName>
    <definedName name="total_OutrasEmissoes_HFC">'[2]Categorias de Escopo 3'!$I$70</definedName>
    <definedName name="total_OutrasEmissoes_N2O">'[2]Categorias de Escopo 3'!$I$69</definedName>
    <definedName name="total_OutrasEmissoes_PFC">'[2]Categorias de Escopo 3'!$I$71</definedName>
    <definedName name="total_OutrasEmissoes_SF6">'[2]Categorias de Escopo 3'!$I$72</definedName>
    <definedName name="total_PFC_CO2e_Cat1">'[2]Categorias de Escopo 3'!$D$29</definedName>
    <definedName name="total_PFC_CO2e_Cat10">'[2]Categorias de Escopo 3'!$F$57</definedName>
    <definedName name="total_PFC_CO2e_Cat11">'[2]Categorias de Escopo 3'!$H$57</definedName>
    <definedName name="total_PFC_CO2e_Cat12">'[2]Categorias de Escopo 3'!$J$57</definedName>
    <definedName name="total_PFC_CO2e_Cat13">'[2]Categorias de Escopo 3'!$D$71</definedName>
    <definedName name="total_PFC_CO2e_Cat14">'[2]Categorias de Escopo 3'!$F$71</definedName>
    <definedName name="total_PFC_CO2e_Cat15">'[2]Categorias de Escopo 3'!$H$71</definedName>
    <definedName name="total_PFC_CO2e_Cat2">'[2]Categorias de Escopo 3'!$F$29</definedName>
    <definedName name="total_PFC_CO2e_Cat3">'[2]Categorias de Escopo 3'!$H$29</definedName>
    <definedName name="total_PFC_CO2e_Cat7">'[2]Categorias de Escopo 3'!$H$43</definedName>
    <definedName name="total_PFC_CO2e_Cat8">'[2]Categorias de Escopo 3'!$J$43</definedName>
    <definedName name="total_PFC_OutrasEmissoes_CO2e">'[2]Categorias de Escopo 3'!$J$71</definedName>
    <definedName name="total_PI_biomassa">'[2]Processos industriais'!$F$58</definedName>
    <definedName name="total_PI_CH4">'[2]Processos industriais'!$AE$32</definedName>
    <definedName name="total_PI_CO2">'[2]Processos industriais'!$AE$31</definedName>
    <definedName name="total_PI_escopo1">'[2]Processos industriais'!$F$56</definedName>
    <definedName name="total_PI_Gases_R">'[2]Processos industriais'!$AE$53:$AE$95</definedName>
    <definedName name="total_PI_Gases_R_CO2e">'[2]Processos industriais'!$AF$53:$AF$95</definedName>
    <definedName name="total_PI_HFC">'[2]Processos industriais'!$AE$34:$AE$52</definedName>
    <definedName name="total_PI_HFC_CO2e">'[2]Processos industriais'!$AF$34:$AF$52</definedName>
    <definedName name="total_PI_N2O">'[2]Processos industriais'!$AE$33</definedName>
    <definedName name="total_PI_PFC">'[2]Processos industriais'!$AE$96:$AE$102</definedName>
    <definedName name="total_PI_PFC_CO2e">'[2]Processos industriais'!$AF$96:$AF$102</definedName>
    <definedName name="total_PI_SF6">'[2]Processos industriais'!$AE$103</definedName>
    <definedName name="total_RS_aterro_CH4" localSheetId="4">#REF!</definedName>
    <definedName name="total_RS_aterro_CH4" localSheetId="3">#REF!</definedName>
    <definedName name="total_RS_aterro_CH4" localSheetId="6">#REF!</definedName>
    <definedName name="total_RS_aterro_CH4">#REF!</definedName>
    <definedName name="total_RS_aterro_Ch4_123" localSheetId="4">#REF!</definedName>
    <definedName name="total_RS_aterro_Ch4_123" localSheetId="3">#REF!</definedName>
    <definedName name="total_RS_aterro_Ch4_123" localSheetId="6">#REF!</definedName>
    <definedName name="total_RS_aterro_Ch4_123">#REF!</definedName>
    <definedName name="total_RS_aterro_CH4_E3">'[2]Resíduos sólidos da operação'!$E$123</definedName>
    <definedName name="total_RS_aterro_CO2e">'[3]Resíduos sólidos'!$E$119</definedName>
    <definedName name="total_RS_biomassa" localSheetId="4">#REF!</definedName>
    <definedName name="total_RS_biomassa" localSheetId="3">#REF!</definedName>
    <definedName name="total_RS_biomassa" localSheetId="6">#REF!</definedName>
    <definedName name="total_RS_biomassa">#REF!</definedName>
    <definedName name="total_RS_biomassa_E3">'[2]Resíduos sólidos da operação'!$E$176:$F$176</definedName>
    <definedName name="total_RS_compost_CH4" localSheetId="4">#REF!</definedName>
    <definedName name="total_RS_compost_CH4" localSheetId="3">#REF!</definedName>
    <definedName name="total_RS_compost_CH4" localSheetId="6">#REF!</definedName>
    <definedName name="total_RS_compost_CH4">#REF!</definedName>
    <definedName name="total_RS_compost_CH4_E3">'[2]Resíduos sólidos da operação'!$E$152</definedName>
    <definedName name="total_RS_compost_CO2e" localSheetId="4">#REF!</definedName>
    <definedName name="total_RS_compost_CO2e" localSheetId="3">#REF!</definedName>
    <definedName name="total_RS_compost_CO2e" localSheetId="6">#REF!</definedName>
    <definedName name="total_RS_compost_CO2e">#REF!</definedName>
    <definedName name="total_RS_compost_co2e123" localSheetId="4">#REF!</definedName>
    <definedName name="total_RS_compost_co2e123" localSheetId="3">#REF!</definedName>
    <definedName name="total_RS_compost_co2e123" localSheetId="6">#REF!</definedName>
    <definedName name="total_RS_compost_co2e123">#REF!</definedName>
    <definedName name="total_RS_compost_N2O" localSheetId="4">#REF!</definedName>
    <definedName name="total_RS_compost_N2O" localSheetId="3">#REF!</definedName>
    <definedName name="total_RS_compost_N2O" localSheetId="6">#REF!</definedName>
    <definedName name="total_RS_compost_N2O">#REF!</definedName>
    <definedName name="total_RS_compost_N2O_E3">'[2]Resíduos sólidos da operação'!$E$153</definedName>
    <definedName name="total_RS_compost_noo3" localSheetId="4">#REF!</definedName>
    <definedName name="total_RS_compost_noo3" localSheetId="3">#REF!</definedName>
    <definedName name="total_RS_compost_noo3" localSheetId="6">#REF!</definedName>
    <definedName name="total_RS_compost_noo3">#REF!</definedName>
    <definedName name="total_RS_escopo1" localSheetId="4">#REF!</definedName>
    <definedName name="total_RS_escopo1" localSheetId="3">#REF!</definedName>
    <definedName name="total_RS_escopo1" localSheetId="6">#REF!</definedName>
    <definedName name="total_RS_escopo1">#REF!</definedName>
    <definedName name="total_RS_incin_CH4" localSheetId="4">#REF!</definedName>
    <definedName name="total_RS_incin_CH4" localSheetId="3">#REF!</definedName>
    <definedName name="total_RS_incin_CH4" localSheetId="6">#REF!</definedName>
    <definedName name="total_RS_incin_CH4">#REF!</definedName>
    <definedName name="total_RS_incin_CH4_E3">'[2]Resíduos sólidos da operação'!$E$167</definedName>
    <definedName name="total_RS_incin_CO2" localSheetId="4">#REF!</definedName>
    <definedName name="total_RS_incin_CO2" localSheetId="3">#REF!</definedName>
    <definedName name="total_RS_incin_CO2" localSheetId="6">#REF!</definedName>
    <definedName name="total_RS_incin_CO2">#REF!</definedName>
    <definedName name="total_RS_incin_CO2_E3">'[2]Resíduos sólidos da operação'!$D$167</definedName>
    <definedName name="total_RS_incin_CO2e" localSheetId="4">#REF!</definedName>
    <definedName name="total_RS_incin_CO2e" localSheetId="3">#REF!</definedName>
    <definedName name="total_RS_incin_CO2e" localSheetId="6">#REF!</definedName>
    <definedName name="total_RS_incin_CO2e">#REF!</definedName>
    <definedName name="total_RS_incin_N2O" localSheetId="4">#REF!</definedName>
    <definedName name="total_RS_incin_N2O" localSheetId="3">#REF!</definedName>
    <definedName name="total_RS_incin_N2O" localSheetId="6">#REF!</definedName>
    <definedName name="total_RS_incin_N2O">#REF!</definedName>
    <definedName name="total_RS_incin_N2O_E3">'[2]Resíduos sólidos da operação'!$F$167</definedName>
    <definedName name="total_SIN_escopo2">'[2]Compra de Energia Elétrica'!$J$164</definedName>
    <definedName name="total_TeD_Down_aereo_CH4">'[2]Transp&amp;Distribuição(Downstream)'!$H$241</definedName>
    <definedName name="total_TeD_Down_aereo_CO2">'[2]Transp&amp;Distribuição(Downstream)'!$G$241</definedName>
    <definedName name="total_TeD_Down_aereo_N2O">'[2]Transp&amp;Distribuição(Downstream)'!$I$241</definedName>
    <definedName name="total_TeD_Down_biomassa">'[2]Transp&amp;Distribuição(Downstream)'!$F$250</definedName>
    <definedName name="total_TeD_Down_ferro_CH4">'[2]Transp&amp;Distribuição(Downstream)'!$H$185</definedName>
    <definedName name="total_TeD_Down_ferro_CO2">'[2]Transp&amp;Distribuição(Downstream)'!$G$185</definedName>
    <definedName name="total_TeD_Down_ferro_N2O">'[2]Transp&amp;Distribuição(Downstream)'!$I$185</definedName>
    <definedName name="total_TeD_Down_hidro_CH4">'[2]Transp&amp;Distribuição(Downstream)'!$H$211</definedName>
    <definedName name="total_TeD_Down_hidro_CO2">'[2]Transp&amp;Distribuição(Downstream)'!$G$211</definedName>
    <definedName name="total_TeD_Down_hidro_N2O">'[2]Transp&amp;Distribuição(Downstream)'!$I$211</definedName>
    <definedName name="total_TeD_Down_rod_CH4">'[2]Transp&amp;Distribuição(Downstream)'!$G$158</definedName>
    <definedName name="total_TeD_Down_rod_CO2">'[2]Transp&amp;Distribuição(Downstream)'!$F$158</definedName>
    <definedName name="total_TeD_Down_rod_N2O">'[2]Transp&amp;Distribuição(Downstream)'!$H$158</definedName>
    <definedName name="total_TeD_Up_aereo_CH4">'[2]Transp.&amp; Distribuição(Upstream)'!$H$242</definedName>
    <definedName name="total_TeD_Up_aereo_CO2">'[2]Transp.&amp; Distribuição(Upstream)'!$G$242</definedName>
    <definedName name="total_TeD_Up_aereo_N2O">'[2]Transp.&amp; Distribuição(Upstream)'!$I$242</definedName>
    <definedName name="total_TeD_Up_biomassa">'[2]Transp.&amp; Distribuição(Upstream)'!$F$251</definedName>
    <definedName name="total_TeD_Up_ferro_CH4">'[2]Transp.&amp; Distribuição(Upstream)'!$H$186</definedName>
    <definedName name="total_TeD_Up_ferro_CO2">'[2]Transp.&amp; Distribuição(Upstream)'!$G$186</definedName>
    <definedName name="total_TeD_Up_ferro_N2O">'[2]Transp.&amp; Distribuição(Upstream)'!$I$186</definedName>
    <definedName name="total_TeD_Up_hidro_CH4">'[2]Transp.&amp; Distribuição(Upstream)'!$H$212</definedName>
    <definedName name="total_TeD_Up_hidro_CO2">'[2]Transp.&amp; Distribuição(Upstream)'!$G$212</definedName>
    <definedName name="total_TeD_Up_hidro_N2O">'[2]Transp.&amp; Distribuição(Upstream)'!$I$212</definedName>
    <definedName name="total_TeD_Up_rod_CH4">'[2]Transp.&amp; Distribuição(Upstream)'!$G$159</definedName>
    <definedName name="total_TeD_Up_rod_CO2">'[2]Transp.&amp; Distribuição(Upstream)'!$F$159</definedName>
    <definedName name="total_TeD_Up_rod_N2O">'[2]Transp.&amp; Distribuição(Upstream)'!$H$159</definedName>
    <definedName name="total_VN_automov_CH4_E3">'[2]Viagens a Negócios'!$F$171</definedName>
    <definedName name="total_VN_automov_CO2_E3">'[2]Viagens a Negócios'!$E$171</definedName>
    <definedName name="total_VN_automov_N2O_E3">'[2]Viagens a Negócios'!$G$171</definedName>
    <definedName name="total_VN_aviao_CH4_E3">'[2]Viagens a Negócios'!$G$71</definedName>
    <definedName name="total_VN_aviao_CO2_E3">'[2]Viagens a Negócios'!$F$71</definedName>
    <definedName name="total_VN_aviao_N2O_E3">'[2]Viagens a Negócios'!$H$71</definedName>
    <definedName name="total_VN_biomassa">'[2]Viagens a Negócios'!$E$179</definedName>
    <definedName name="total_VN_ônibus_CH4_E3">'[2]Viagens a Negócios'!$F$139</definedName>
    <definedName name="total_VN_ônibus_CO2_E3">'[2]Viagens a Negócios'!$E$139</definedName>
    <definedName name="total_VN_ônibus_N2O_E3">'[2]Viagens a Negócios'!$G$139</definedName>
    <definedName name="total_VN_trem_CH4_E3">'[2]Viagens a Negócios'!$F$105</definedName>
    <definedName name="total_VN_trem_CO2_E3">'[2]Viagens a Negócios'!$E$105</definedName>
    <definedName name="total_VN_trem_N2O_E3">'[2]Viagens a Negócios'!$G$105</definedName>
    <definedName name="TotalRSBiomassa123" localSheetId="4">#REF!</definedName>
    <definedName name="TotalRSBiomassa123" localSheetId="3">#REF!</definedName>
    <definedName name="TotalRSBiomassa123" localSheetId="6">#REF!</definedName>
    <definedName name="TotalRSBiomassa123">#REF!</definedName>
    <definedName name="totalRSCompostCh4_123" localSheetId="4">#REF!</definedName>
    <definedName name="totalRSCompostCh4_123" localSheetId="3">#REF!</definedName>
    <definedName name="totalRSCompostCh4_123" localSheetId="6">#REF!</definedName>
    <definedName name="totalRSCompostCh4_123">#REF!</definedName>
    <definedName name="totalrsescopo1" localSheetId="4">#REF!</definedName>
    <definedName name="totalrsescopo1" localSheetId="3">#REF!</definedName>
    <definedName name="totalrsescopo1" localSheetId="6">#REF!</definedName>
    <definedName name="totalrsescopo1">#REF!</definedName>
    <definedName name="totalrsincinch4" localSheetId="3">#REF!</definedName>
    <definedName name="totalrsincinch4" localSheetId="6">#REF!</definedName>
    <definedName name="totalrsincinch4">#REF!</definedName>
    <definedName name="totalrsincinco3" localSheetId="3">#REF!</definedName>
    <definedName name="totalrsincinco3" localSheetId="6">#REF!</definedName>
    <definedName name="totalrsincinco3">#REF!</definedName>
    <definedName name="totalrsincinco4" localSheetId="3">#REF!</definedName>
    <definedName name="totalrsincinco4" localSheetId="6">#REF!</definedName>
    <definedName name="totalrsincinco4">#REF!</definedName>
    <definedName name="totalrsincinn28" localSheetId="3">#REF!</definedName>
    <definedName name="totalrsincinn28" localSheetId="6">#REF!</definedName>
    <definedName name="totalrsincinn28">#REF!</definedName>
    <definedName name="trocanome" localSheetId="3">#REF!</definedName>
    <definedName name="trocanome">#REF!</definedName>
    <definedName name="trwasdfas">[1]Dados!$C$15:$C$17</definedName>
    <definedName name="Unidade">Plan1!$A$5:$A$12</definedName>
    <definedName name="usodaterra" localSheetId="12">'[4]Base de dados'!$B$9:$B$12</definedName>
    <definedName name="usodaterra" localSheetId="4">#REF!</definedName>
    <definedName name="usodaterra" localSheetId="6">#REF!</definedName>
    <definedName name="usodaterra">'Apoio_Regulação do clima global'!$B$20:$B$23</definedName>
    <definedName name="usodaterra1" localSheetId="4">#REF!</definedName>
    <definedName name="usodaterra1" localSheetId="3">#REF!</definedName>
    <definedName name="usodaterra1" localSheetId="6">#REF!</definedName>
    <definedName name="usodaterra1">#REF!</definedName>
    <definedName name="usodaterra10" localSheetId="4">#REF!</definedName>
    <definedName name="usodaterra10" localSheetId="3">#REF!</definedName>
    <definedName name="usodaterra10" localSheetId="6">#REF!</definedName>
    <definedName name="usodaterra10">#REF!</definedName>
    <definedName name="usodaterra23" localSheetId="3">#REF!</definedName>
    <definedName name="usodaterra23" localSheetId="6">#REF!</definedName>
    <definedName name="usodaterra23">#REF!</definedName>
    <definedName name="usodaterra30" localSheetId="3">#REF!</definedName>
    <definedName name="usodaterra30" localSheetId="6">#REF!</definedName>
    <definedName name="usodaterra30">#REF!</definedName>
    <definedName name="usodaterra8" localSheetId="3">#REF!</definedName>
    <definedName name="usodaterra8" localSheetId="6">#REF!</definedName>
    <definedName name="usodaterra8">#REF!</definedName>
    <definedName name="wqerqwerqr" localSheetId="3">#REF!</definedName>
    <definedName name="wqerqwerqr" localSheetId="6">#REF!</definedName>
    <definedName name="wqerqwerqr">#REF!</definedName>
    <definedName name="wqerwqerwqer">'[1]Resíduos sólidos'!$E$119</definedName>
    <definedName name="xxx" localSheetId="3">#REF!</definedName>
    <definedName name="xxx">#REF!</definedName>
    <definedName name="xxxxx" localSheetId="3">#REF!</definedName>
    <definedName name="xxxxx">#REF!</definedName>
    <definedName name="yyyy" localSheetId="3">#REF!</definedName>
    <definedName name="yyyy">#REF!</definedName>
  </definedNames>
  <calcPr calcId="145621" concurrentCalc="0"/>
  <extLst>
    <ext xmlns:mx="http://schemas.microsoft.com/office/mac/excel/2008/main" uri="{7523E5D3-25F3-A5E0-1632-64F254C22452}">
      <mx:ArchID Flags="2"/>
    </ext>
  </extLst>
</workbook>
</file>

<file path=xl/calcChain.xml><?xml version="1.0" encoding="utf-8"?>
<calcChain xmlns="http://schemas.openxmlformats.org/spreadsheetml/2006/main">
  <c r="O17" i="32" l="1"/>
  <c r="L30" i="32"/>
  <c r="L29" i="32"/>
  <c r="I30" i="32"/>
  <c r="I29" i="32"/>
  <c r="D39" i="32"/>
  <c r="D38" i="32"/>
  <c r="D37" i="32"/>
  <c r="D36" i="32"/>
  <c r="D35" i="32"/>
  <c r="D34" i="32"/>
  <c r="N144" i="35"/>
  <c r="Y30" i="32"/>
  <c r="K93" i="35"/>
  <c r="K128" i="35"/>
  <c r="K129" i="35"/>
  <c r="K130" i="35"/>
  <c r="K131" i="35"/>
  <c r="K132" i="35"/>
  <c r="K135" i="35"/>
  <c r="M128" i="35"/>
  <c r="M129" i="35"/>
  <c r="M130" i="35"/>
  <c r="M131" i="35"/>
  <c r="M132" i="35"/>
  <c r="K136" i="35"/>
  <c r="N143" i="35"/>
  <c r="Y29" i="32"/>
  <c r="Y24" i="32"/>
  <c r="Y23" i="32"/>
  <c r="Y18" i="32"/>
  <c r="Y17" i="32"/>
  <c r="U28" i="32"/>
  <c r="L71" i="35"/>
  <c r="V25" i="32"/>
  <c r="L70" i="35"/>
  <c r="V24" i="32"/>
  <c r="L69" i="35"/>
  <c r="V23" i="32"/>
  <c r="V22" i="32"/>
  <c r="F71" i="35"/>
  <c r="V19" i="32"/>
  <c r="F70" i="35"/>
  <c r="V18" i="32"/>
  <c r="F69" i="35"/>
  <c r="V17" i="32"/>
  <c r="R18" i="32"/>
  <c r="R17" i="32"/>
  <c r="R30" i="32"/>
  <c r="R29" i="32"/>
  <c r="R24" i="32"/>
  <c r="R23" i="32"/>
  <c r="D50" i="27"/>
  <c r="D51" i="27"/>
  <c r="O24" i="32"/>
  <c r="O23" i="32"/>
  <c r="J15" i="20"/>
  <c r="D200" i="21"/>
  <c r="D195" i="21"/>
  <c r="P30" i="20"/>
  <c r="J30" i="20"/>
  <c r="D201" i="21"/>
  <c r="P21" i="20"/>
  <c r="P22" i="20"/>
  <c r="P23" i="20"/>
  <c r="P24" i="20"/>
  <c r="P25" i="20"/>
  <c r="P26" i="20"/>
  <c r="P27" i="20"/>
  <c r="P28" i="20"/>
  <c r="J9" i="20"/>
  <c r="I19" i="30"/>
  <c r="I20" i="30"/>
  <c r="F30" i="32"/>
  <c r="K10" i="30"/>
  <c r="K11" i="30"/>
  <c r="L28" i="9"/>
  <c r="C29" i="32"/>
  <c r="H28" i="9"/>
  <c r="C23" i="32"/>
  <c r="L10" i="9"/>
  <c r="L21" i="9"/>
  <c r="M28" i="9"/>
  <c r="D29" i="32"/>
  <c r="D28" i="9"/>
  <c r="E28" i="9"/>
  <c r="D17" i="32"/>
  <c r="L22" i="9"/>
  <c r="L34" i="16"/>
  <c r="F11" i="32"/>
  <c r="L35" i="16"/>
  <c r="F12" i="32"/>
  <c r="E62" i="29"/>
  <c r="J22" i="16"/>
  <c r="H35" i="16"/>
  <c r="F10" i="32"/>
  <c r="L21" i="16"/>
  <c r="D35" i="16"/>
  <c r="F8" i="32"/>
  <c r="J13" i="16"/>
  <c r="D34" i="16"/>
  <c r="F7" i="32"/>
  <c r="L26" i="33"/>
  <c r="C11" i="32"/>
  <c r="L27" i="33"/>
  <c r="C12" i="32"/>
  <c r="H26" i="33"/>
  <c r="H27" i="33"/>
  <c r="C10" i="32"/>
  <c r="D11" i="32"/>
  <c r="E26" i="33"/>
  <c r="D7" i="32"/>
  <c r="J11" i="33"/>
  <c r="D27" i="33"/>
  <c r="C8" i="32"/>
  <c r="V27" i="32"/>
  <c r="U27" i="32"/>
  <c r="V26" i="32"/>
  <c r="U26" i="32"/>
  <c r="U21" i="32"/>
  <c r="U20" i="32"/>
  <c r="O51" i="28"/>
  <c r="D30" i="27"/>
  <c r="D31" i="27"/>
  <c r="O18" i="32"/>
  <c r="J74" i="20"/>
  <c r="D207" i="21"/>
  <c r="J83" i="20"/>
  <c r="J85" i="20"/>
  <c r="C9" i="32"/>
  <c r="O111" i="28"/>
  <c r="O109" i="28"/>
  <c r="P10" i="28"/>
  <c r="P14" i="28"/>
  <c r="O10" i="28"/>
  <c r="AA13" i="28"/>
  <c r="AA70" i="28"/>
  <c r="N14" i="28"/>
  <c r="N71" i="28"/>
  <c r="AA14" i="28"/>
  <c r="AA71" i="28"/>
  <c r="N15" i="28"/>
  <c r="AA15" i="28"/>
  <c r="AA72" i="28"/>
  <c r="N16" i="28"/>
  <c r="AA16" i="28"/>
  <c r="AA73" i="28"/>
  <c r="N17" i="28"/>
  <c r="AA17" i="28"/>
  <c r="AA74" i="28"/>
  <c r="N18" i="28"/>
  <c r="AA18" i="28"/>
  <c r="AA75" i="28"/>
  <c r="N19" i="28"/>
  <c r="AA19" i="28"/>
  <c r="AA76" i="28"/>
  <c r="N20" i="28"/>
  <c r="AA20" i="28"/>
  <c r="AA77" i="28"/>
  <c r="N21" i="28"/>
  <c r="AA21" i="28"/>
  <c r="AA78" i="28"/>
  <c r="N22" i="28"/>
  <c r="AA22" i="28"/>
  <c r="AA79" i="28"/>
  <c r="N23" i="28"/>
  <c r="AA23" i="28"/>
  <c r="AA80" i="28"/>
  <c r="N24" i="28"/>
  <c r="AA24" i="28"/>
  <c r="AA81" i="28"/>
  <c r="N25" i="28"/>
  <c r="AA25" i="28"/>
  <c r="AA82" i="28"/>
  <c r="N26" i="28"/>
  <c r="AA26" i="28"/>
  <c r="AA83" i="28"/>
  <c r="N27" i="28"/>
  <c r="AA27" i="28"/>
  <c r="AA84" i="28"/>
  <c r="AA28" i="28"/>
  <c r="AA85" i="28"/>
  <c r="AA29" i="28"/>
  <c r="AA86" i="28"/>
  <c r="AA30" i="28"/>
  <c r="AA87" i="28"/>
  <c r="AA31" i="28"/>
  <c r="AA88" i="28"/>
  <c r="AA32" i="28"/>
  <c r="AA89" i="28"/>
  <c r="AA33" i="28"/>
  <c r="AA90" i="28"/>
  <c r="AA34" i="28"/>
  <c r="AA91" i="28"/>
  <c r="AA35" i="28"/>
  <c r="AA92" i="28"/>
  <c r="AA36" i="28"/>
  <c r="AA93" i="28"/>
  <c r="AA37" i="28"/>
  <c r="AA94" i="28"/>
  <c r="AA38" i="28"/>
  <c r="AA95" i="28"/>
  <c r="AA39" i="28"/>
  <c r="AA96" i="28"/>
  <c r="AA40" i="28"/>
  <c r="AA97" i="28"/>
  <c r="AA41" i="28"/>
  <c r="AA98" i="28"/>
  <c r="AA42" i="28"/>
  <c r="AA99" i="28"/>
  <c r="O14" i="28"/>
  <c r="O13" i="28"/>
  <c r="Q10" i="28"/>
  <c r="Q13" i="28"/>
  <c r="Q43" i="28"/>
  <c r="R10" i="28"/>
  <c r="R14" i="28"/>
  <c r="S10" i="28"/>
  <c r="S37" i="28"/>
  <c r="T10" i="28"/>
  <c r="T39" i="28"/>
  <c r="U10" i="28"/>
  <c r="U37" i="28"/>
  <c r="V10" i="28"/>
  <c r="V36" i="28"/>
  <c r="W10" i="28"/>
  <c r="W20" i="28"/>
  <c r="X10" i="28"/>
  <c r="X22" i="28"/>
  <c r="Y10" i="28"/>
  <c r="Y15" i="28"/>
  <c r="Z10" i="28"/>
  <c r="Z28" i="28"/>
  <c r="J34" i="20"/>
  <c r="K34" i="20"/>
  <c r="J37" i="20"/>
  <c r="E60" i="29"/>
  <c r="K113" i="35"/>
  <c r="K114" i="35"/>
  <c r="K115" i="35"/>
  <c r="K116" i="35"/>
  <c r="K117" i="35"/>
  <c r="M113" i="35"/>
  <c r="M114" i="35"/>
  <c r="M115" i="35"/>
  <c r="M116" i="35"/>
  <c r="M117" i="35"/>
  <c r="M118" i="35"/>
  <c r="K25" i="31"/>
  <c r="J26" i="31"/>
  <c r="F26" i="31"/>
  <c r="E27" i="31"/>
  <c r="F25" i="31"/>
  <c r="E28" i="31"/>
  <c r="K98" i="35"/>
  <c r="K99" i="35"/>
  <c r="K100" i="35"/>
  <c r="K101" i="35"/>
  <c r="K102" i="35"/>
  <c r="K103" i="35"/>
  <c r="M98" i="35"/>
  <c r="M99" i="35"/>
  <c r="M100" i="35"/>
  <c r="M101" i="35"/>
  <c r="M102" i="35"/>
  <c r="M103" i="35"/>
  <c r="K86" i="35"/>
  <c r="K46" i="35"/>
  <c r="K47" i="35"/>
  <c r="K48" i="35"/>
  <c r="K49" i="35"/>
  <c r="K50" i="35"/>
  <c r="K51" i="35"/>
  <c r="M46" i="35"/>
  <c r="M47" i="35"/>
  <c r="M48" i="35"/>
  <c r="M49" i="35"/>
  <c r="M50" i="35"/>
  <c r="M51" i="35"/>
  <c r="K25" i="35"/>
  <c r="K26" i="35"/>
  <c r="K27" i="35"/>
  <c r="K28" i="35"/>
  <c r="K29" i="35"/>
  <c r="K30" i="35"/>
  <c r="M25" i="35"/>
  <c r="M26" i="35"/>
  <c r="N69" i="28"/>
  <c r="N13" i="28"/>
  <c r="N70" i="28"/>
  <c r="D166" i="27"/>
  <c r="D167" i="27"/>
  <c r="E146" i="27"/>
  <c r="E147" i="27"/>
  <c r="P77" i="20"/>
  <c r="J81" i="20"/>
  <c r="C10" i="22"/>
  <c r="P78" i="20"/>
  <c r="P79" i="20"/>
  <c r="P80" i="20"/>
  <c r="L17" i="9"/>
  <c r="L12" i="9"/>
  <c r="K23" i="16"/>
  <c r="K14" i="16"/>
  <c r="J22" i="34"/>
  <c r="J21" i="34"/>
  <c r="D35" i="21"/>
  <c r="L9" i="30"/>
  <c r="L8" i="16"/>
  <c r="K13" i="35"/>
  <c r="G48" i="29"/>
  <c r="L19" i="16"/>
  <c r="L20" i="16"/>
  <c r="L18" i="16"/>
  <c r="L9" i="16"/>
  <c r="L10" i="16"/>
  <c r="G6" i="29"/>
  <c r="G7" i="29"/>
  <c r="G8" i="29"/>
  <c r="G9" i="29"/>
  <c r="G10" i="29"/>
  <c r="G11" i="29"/>
  <c r="G12" i="29"/>
  <c r="G13" i="29"/>
  <c r="G14" i="29"/>
  <c r="G15" i="29"/>
  <c r="G16" i="29"/>
  <c r="G17" i="29"/>
  <c r="K11" i="16"/>
  <c r="K12" i="16"/>
  <c r="K13" i="16"/>
  <c r="G49" i="29"/>
  <c r="G50" i="29"/>
  <c r="G51" i="29"/>
  <c r="G52" i="29"/>
  <c r="G53" i="29"/>
  <c r="G54" i="29"/>
  <c r="G55" i="29"/>
  <c r="G56" i="29"/>
  <c r="G57" i="29"/>
  <c r="G58" i="29"/>
  <c r="F18" i="29"/>
  <c r="G19" i="29"/>
  <c r="G20" i="29"/>
  <c r="G21" i="29"/>
  <c r="G22" i="29"/>
  <c r="G23" i="29"/>
  <c r="G24" i="29"/>
  <c r="G25" i="29"/>
  <c r="G26" i="29"/>
  <c r="G27" i="29"/>
  <c r="G28" i="29"/>
  <c r="G29" i="29"/>
  <c r="G30" i="29"/>
  <c r="G31" i="29"/>
  <c r="G32" i="29"/>
  <c r="G33" i="29"/>
  <c r="G34" i="29"/>
  <c r="G35" i="29"/>
  <c r="G36" i="29"/>
  <c r="G37" i="29"/>
  <c r="G38" i="29"/>
  <c r="G39" i="29"/>
  <c r="G40" i="29"/>
  <c r="G41" i="29"/>
  <c r="G42" i="29"/>
  <c r="G43" i="29"/>
  <c r="G44" i="29"/>
  <c r="G45" i="29"/>
  <c r="G46" i="29"/>
  <c r="G47" i="29"/>
  <c r="G5" i="29"/>
  <c r="J40" i="35"/>
  <c r="J61" i="35"/>
  <c r="J39" i="35"/>
  <c r="J60" i="35"/>
  <c r="I144" i="35"/>
  <c r="D144" i="35"/>
  <c r="K55" i="35"/>
  <c r="K74" i="35"/>
  <c r="K34" i="35"/>
  <c r="E74" i="35"/>
  <c r="L73" i="35"/>
  <c r="K73" i="35"/>
  <c r="F73" i="35"/>
  <c r="D73" i="35"/>
  <c r="L72" i="35"/>
  <c r="K72" i="35"/>
  <c r="F72" i="35"/>
  <c r="D72" i="35"/>
  <c r="M30" i="35"/>
  <c r="M29" i="35"/>
  <c r="M28" i="35"/>
  <c r="M27" i="35"/>
  <c r="H42" i="31"/>
  <c r="I42" i="31"/>
  <c r="D7" i="28"/>
  <c r="J12" i="21"/>
  <c r="D23" i="21"/>
  <c r="E16" i="21"/>
  <c r="D27" i="21"/>
  <c r="O15" i="28"/>
  <c r="O28" i="28"/>
  <c r="O36" i="28"/>
  <c r="O37" i="28"/>
  <c r="O38" i="28"/>
  <c r="O39" i="28"/>
  <c r="O40" i="28"/>
  <c r="O41" i="28"/>
  <c r="O42" i="28"/>
  <c r="N38" i="28"/>
  <c r="N95" i="28"/>
  <c r="N39" i="28"/>
  <c r="N96" i="28"/>
  <c r="N40" i="28"/>
  <c r="N97" i="28"/>
  <c r="N41" i="28"/>
  <c r="N98" i="28"/>
  <c r="N42" i="28"/>
  <c r="N99" i="28"/>
  <c r="N37" i="28"/>
  <c r="N94" i="28"/>
  <c r="N36" i="28"/>
  <c r="N93" i="28"/>
  <c r="M17" i="27"/>
  <c r="M16" i="27"/>
  <c r="M13" i="27"/>
  <c r="K42" i="31"/>
  <c r="G10" i="28"/>
  <c r="G11" i="28"/>
  <c r="G12" i="28"/>
  <c r="O173" i="27"/>
  <c r="O202" i="27"/>
  <c r="O201" i="27"/>
  <c r="O200" i="27"/>
  <c r="O199" i="27"/>
  <c r="O198" i="27"/>
  <c r="O197" i="27"/>
  <c r="O196" i="27"/>
  <c r="O195" i="27"/>
  <c r="O194" i="27"/>
  <c r="O193" i="27"/>
  <c r="O182" i="27"/>
  <c r="O181" i="27"/>
  <c r="O180" i="27"/>
  <c r="O179" i="27"/>
  <c r="O178" i="27"/>
  <c r="O177" i="27"/>
  <c r="O176" i="27"/>
  <c r="O175" i="27"/>
  <c r="O174" i="27"/>
  <c r="O162" i="27"/>
  <c r="O161" i="27"/>
  <c r="O160" i="27"/>
  <c r="O159" i="27"/>
  <c r="O158" i="27"/>
  <c r="O157" i="27"/>
  <c r="O156" i="27"/>
  <c r="O155" i="27"/>
  <c r="O154" i="27"/>
  <c r="O153" i="27"/>
  <c r="G58" i="28"/>
  <c r="G57" i="28"/>
  <c r="G54" i="28"/>
  <c r="G53" i="28"/>
  <c r="G51" i="28"/>
  <c r="G50" i="28"/>
  <c r="G49" i="28"/>
  <c r="G48" i="28"/>
  <c r="G47" i="28"/>
  <c r="G46" i="28"/>
  <c r="G45" i="28"/>
  <c r="G43" i="28"/>
  <c r="G42" i="28"/>
  <c r="G41" i="28"/>
  <c r="G40" i="28"/>
  <c r="G39" i="28"/>
  <c r="G38" i="28"/>
  <c r="G37" i="28"/>
  <c r="G36" i="28"/>
  <c r="O35" i="28"/>
  <c r="N35" i="28"/>
  <c r="N92" i="28"/>
  <c r="G35" i="28"/>
  <c r="O34" i="28"/>
  <c r="N34" i="28"/>
  <c r="N91" i="28"/>
  <c r="G34" i="28"/>
  <c r="O33" i="28"/>
  <c r="N33" i="28"/>
  <c r="N90" i="28"/>
  <c r="G33" i="28"/>
  <c r="O32" i="28"/>
  <c r="N32" i="28"/>
  <c r="N89" i="28"/>
  <c r="G32" i="28"/>
  <c r="O31" i="28"/>
  <c r="N31" i="28"/>
  <c r="N88" i="28"/>
  <c r="G31" i="28"/>
  <c r="O30" i="28"/>
  <c r="N30" i="28"/>
  <c r="N87" i="28"/>
  <c r="G30" i="28"/>
  <c r="O29" i="28"/>
  <c r="N29" i="28"/>
  <c r="N86" i="28"/>
  <c r="G29" i="28"/>
  <c r="N28" i="28"/>
  <c r="N85" i="28"/>
  <c r="G28" i="28"/>
  <c r="O27" i="28"/>
  <c r="G27" i="28"/>
  <c r="O26" i="28"/>
  <c r="G26" i="28"/>
  <c r="O25" i="28"/>
  <c r="G25" i="28"/>
  <c r="O24" i="28"/>
  <c r="G24" i="28"/>
  <c r="O23" i="28"/>
  <c r="G23" i="28"/>
  <c r="O22" i="28"/>
  <c r="G22" i="28"/>
  <c r="O21" i="28"/>
  <c r="G21" i="28"/>
  <c r="O20" i="28"/>
  <c r="G20" i="28"/>
  <c r="O19" i="28"/>
  <c r="G19" i="28"/>
  <c r="O18" i="28"/>
  <c r="G18" i="28"/>
  <c r="O17" i="28"/>
  <c r="G17" i="28"/>
  <c r="O16" i="28"/>
  <c r="G16" i="28"/>
  <c r="G15" i="28"/>
  <c r="G14" i="28"/>
  <c r="G13" i="28"/>
  <c r="D10" i="28"/>
  <c r="G9" i="28"/>
  <c r="G8" i="28"/>
  <c r="G7" i="28"/>
  <c r="G6" i="28"/>
  <c r="D6" i="28"/>
  <c r="G5" i="28"/>
  <c r="D5" i="28"/>
  <c r="O66" i="27"/>
  <c r="O65" i="27"/>
  <c r="O64" i="27"/>
  <c r="O63" i="27"/>
  <c r="O62" i="27"/>
  <c r="O61" i="27"/>
  <c r="O60" i="27"/>
  <c r="O59" i="27"/>
  <c r="O58" i="27"/>
  <c r="O57" i="27"/>
  <c r="O46" i="27"/>
  <c r="O45" i="27"/>
  <c r="O44" i="27"/>
  <c r="O43" i="27"/>
  <c r="O42" i="27"/>
  <c r="O41" i="27"/>
  <c r="O40" i="27"/>
  <c r="O39" i="27"/>
  <c r="O38" i="27"/>
  <c r="O37" i="27"/>
  <c r="H14" i="22"/>
  <c r="C9" i="22"/>
  <c r="R21" i="22"/>
  <c r="C6" i="22"/>
  <c r="C5" i="22"/>
  <c r="C4" i="22"/>
  <c r="C15" i="22"/>
  <c r="C16" i="22"/>
  <c r="C175" i="21"/>
  <c r="C154" i="21"/>
  <c r="C115" i="21"/>
  <c r="C84" i="21"/>
  <c r="C58" i="21"/>
  <c r="D63" i="21"/>
  <c r="D137" i="21"/>
  <c r="D53" i="21"/>
  <c r="D186" i="21"/>
  <c r="D166" i="21"/>
  <c r="D148" i="21"/>
  <c r="D132" i="21"/>
  <c r="D112" i="21"/>
  <c r="D96" i="21"/>
  <c r="D78" i="21"/>
  <c r="D62" i="21"/>
  <c r="D44" i="21"/>
  <c r="D28" i="21"/>
  <c r="D61" i="21"/>
  <c r="D95" i="21"/>
  <c r="D135" i="21"/>
  <c r="D169" i="21"/>
  <c r="I14" i="22"/>
  <c r="D183" i="21"/>
  <c r="J14" i="22"/>
  <c r="K14" i="22"/>
  <c r="L14" i="22"/>
  <c r="M14" i="22"/>
  <c r="N14" i="22"/>
  <c r="O14" i="22"/>
  <c r="P14" i="22"/>
  <c r="Q14" i="22"/>
  <c r="R14" i="22"/>
  <c r="S14" i="22"/>
  <c r="T14" i="22"/>
  <c r="U14" i="22"/>
  <c r="V14" i="22"/>
  <c r="W14" i="22"/>
  <c r="X14" i="22"/>
  <c r="Y14" i="22"/>
  <c r="Z14" i="22"/>
  <c r="AA14" i="22"/>
  <c r="AB14" i="22"/>
  <c r="AC14" i="22"/>
  <c r="AD14" i="22"/>
  <c r="AE14" i="22"/>
  <c r="AF14" i="22"/>
  <c r="AG14" i="22"/>
  <c r="AH14" i="22"/>
  <c r="AI14" i="22"/>
  <c r="AJ14" i="22"/>
  <c r="AK14" i="22"/>
  <c r="AL14" i="22"/>
  <c r="AM14" i="22"/>
  <c r="AN14" i="22"/>
  <c r="AO14" i="22"/>
  <c r="AP14" i="22"/>
  <c r="AQ14" i="22"/>
  <c r="E29" i="9"/>
  <c r="D163" i="21"/>
  <c r="D151" i="21"/>
  <c r="D77" i="21"/>
  <c r="D36" i="21"/>
  <c r="D70" i="21"/>
  <c r="D104" i="21"/>
  <c r="D140" i="21"/>
  <c r="D178" i="21"/>
  <c r="D101" i="21"/>
  <c r="D149" i="21"/>
  <c r="D185" i="21"/>
  <c r="D119" i="21"/>
  <c r="D43" i="21"/>
  <c r="D52" i="21"/>
  <c r="D88" i="21"/>
  <c r="D124" i="21"/>
  <c r="D158" i="21"/>
  <c r="D117" i="21"/>
  <c r="D75" i="21"/>
  <c r="D79" i="21"/>
  <c r="D21" i="21"/>
  <c r="D159" i="21"/>
  <c r="D165" i="21"/>
  <c r="D111" i="21"/>
  <c r="D73" i="21"/>
  <c r="D39" i="21"/>
  <c r="D30" i="21"/>
  <c r="D46" i="21"/>
  <c r="D64" i="21"/>
  <c r="D80" i="21"/>
  <c r="D106" i="21"/>
  <c r="D126" i="21"/>
  <c r="D150" i="21"/>
  <c r="D180" i="21"/>
  <c r="D37" i="21"/>
  <c r="D121" i="21"/>
  <c r="D41" i="21"/>
  <c r="D29" i="21"/>
  <c r="D191" i="21"/>
  <c r="D171" i="21"/>
  <c r="D177" i="21"/>
  <c r="D161" i="21"/>
  <c r="D143" i="21"/>
  <c r="D127" i="21"/>
  <c r="D107" i="21"/>
  <c r="D87" i="21"/>
  <c r="D69" i="21"/>
  <c r="D51" i="21"/>
  <c r="D32" i="21"/>
  <c r="D40" i="21"/>
  <c r="D48" i="21"/>
  <c r="D56" i="21"/>
  <c r="D66" i="21"/>
  <c r="D74" i="21"/>
  <c r="D82" i="21"/>
  <c r="D92" i="21"/>
  <c r="D100" i="21"/>
  <c r="D108" i="21"/>
  <c r="D120" i="21"/>
  <c r="D128" i="21"/>
  <c r="D136" i="21"/>
  <c r="D144" i="21"/>
  <c r="D152" i="21"/>
  <c r="D162" i="21"/>
  <c r="D170" i="21"/>
  <c r="D182" i="21"/>
  <c r="D190" i="21"/>
  <c r="D89" i="21"/>
  <c r="D145" i="21"/>
  <c r="D33" i="21"/>
  <c r="D109" i="21"/>
  <c r="D22" i="21"/>
  <c r="D97" i="21"/>
  <c r="D45" i="21"/>
  <c r="D179" i="21"/>
  <c r="D181" i="21"/>
  <c r="D147" i="21"/>
  <c r="D131" i="21"/>
  <c r="D91" i="21"/>
  <c r="D55" i="21"/>
  <c r="D38" i="21"/>
  <c r="D54" i="21"/>
  <c r="D72" i="21"/>
  <c r="D90" i="21"/>
  <c r="D98" i="21"/>
  <c r="D118" i="21"/>
  <c r="D134" i="21"/>
  <c r="D142" i="21"/>
  <c r="D160" i="21"/>
  <c r="D168" i="21"/>
  <c r="D188" i="21"/>
  <c r="D105" i="21"/>
  <c r="D49" i="21"/>
  <c r="D141" i="21"/>
  <c r="D187" i="21"/>
  <c r="D167" i="21"/>
  <c r="D189" i="21"/>
  <c r="D173" i="21"/>
  <c r="D157" i="21"/>
  <c r="D139" i="21"/>
  <c r="D123" i="21"/>
  <c r="D103" i="21"/>
  <c r="D81" i="21"/>
  <c r="D65" i="21"/>
  <c r="D47" i="21"/>
  <c r="D31" i="21"/>
  <c r="D34" i="21"/>
  <c r="D42" i="21"/>
  <c r="D50" i="21"/>
  <c r="D60" i="21"/>
  <c r="D68" i="21"/>
  <c r="D76" i="21"/>
  <c r="D86" i="21"/>
  <c r="D94" i="21"/>
  <c r="D102" i="21"/>
  <c r="D110" i="21"/>
  <c r="D122" i="21"/>
  <c r="D130" i="21"/>
  <c r="D138" i="21"/>
  <c r="D146" i="21"/>
  <c r="D156" i="21"/>
  <c r="D164" i="21"/>
  <c r="D172" i="21"/>
  <c r="D184" i="21"/>
  <c r="D133" i="21"/>
  <c r="D71" i="21"/>
  <c r="D129" i="21"/>
  <c r="D67" i="21"/>
  <c r="D93" i="21"/>
  <c r="D113" i="21"/>
  <c r="D125" i="21"/>
  <c r="D99" i="21"/>
  <c r="T32" i="28"/>
  <c r="R36" i="28"/>
  <c r="P34" i="28"/>
  <c r="N72" i="28"/>
  <c r="S19" i="28"/>
  <c r="S38" i="28"/>
  <c r="K53" i="35"/>
  <c r="F29" i="32"/>
  <c r="J19" i="30"/>
  <c r="G29" i="32"/>
  <c r="D26" i="33"/>
  <c r="C7" i="32"/>
  <c r="Z21" i="22"/>
  <c r="R35" i="28"/>
  <c r="R41" i="28"/>
  <c r="T35" i="28"/>
  <c r="W22" i="28"/>
  <c r="R24" i="28"/>
  <c r="E203" i="27"/>
  <c r="R37" i="28"/>
  <c r="R19" i="28"/>
  <c r="R22" i="28"/>
  <c r="R33" i="28"/>
  <c r="R28" i="28"/>
  <c r="W16" i="28"/>
  <c r="R17" i="28"/>
  <c r="R40" i="28"/>
  <c r="R32" i="28"/>
  <c r="N79" i="28"/>
  <c r="AF21" i="22"/>
  <c r="AL21" i="22"/>
  <c r="AQ21" i="22"/>
  <c r="N21" i="22"/>
  <c r="F21" i="22"/>
  <c r="C17" i="22"/>
  <c r="AD21" i="22"/>
  <c r="D15" i="22"/>
  <c r="E15" i="22"/>
  <c r="F15" i="22"/>
  <c r="G15" i="22"/>
  <c r="H15" i="22"/>
  <c r="I15" i="22"/>
  <c r="J15" i="22"/>
  <c r="K15" i="22"/>
  <c r="L15" i="22"/>
  <c r="M15" i="22"/>
  <c r="N15" i="22"/>
  <c r="O15" i="22"/>
  <c r="P15" i="22"/>
  <c r="Q15" i="22"/>
  <c r="R15" i="22"/>
  <c r="S15" i="22"/>
  <c r="T15" i="22"/>
  <c r="U15" i="22"/>
  <c r="V15" i="22"/>
  <c r="W15" i="22"/>
  <c r="X15" i="22"/>
  <c r="Y15" i="22"/>
  <c r="Z15" i="22"/>
  <c r="AA15" i="22"/>
  <c r="AB15" i="22"/>
  <c r="AC15" i="22"/>
  <c r="AD15" i="22"/>
  <c r="AE15" i="22"/>
  <c r="AF15" i="22"/>
  <c r="AG15" i="22"/>
  <c r="AH15" i="22"/>
  <c r="AI15" i="22"/>
  <c r="AJ15" i="22"/>
  <c r="AK15" i="22"/>
  <c r="AL15" i="22"/>
  <c r="AM15" i="22"/>
  <c r="AN15" i="22"/>
  <c r="AO15" i="22"/>
  <c r="AP15" i="22"/>
  <c r="AQ15" i="22"/>
  <c r="L21" i="22"/>
  <c r="U21" i="22"/>
  <c r="E21" i="22"/>
  <c r="V21" i="22"/>
  <c r="X21" i="22"/>
  <c r="Q21" i="22"/>
  <c r="O21" i="22"/>
  <c r="D16" i="22"/>
  <c r="J21" i="22"/>
  <c r="T21" i="22"/>
  <c r="S21" i="22"/>
  <c r="AK21" i="22"/>
  <c r="G21" i="22"/>
  <c r="AN21" i="22"/>
  <c r="Y21" i="22"/>
  <c r="M21" i="22"/>
  <c r="AP21" i="22"/>
  <c r="AE21" i="22"/>
  <c r="K74" i="20"/>
  <c r="C7" i="22"/>
  <c r="Y18" i="28"/>
  <c r="Q19" i="28"/>
  <c r="S35" i="28"/>
  <c r="Y14" i="28"/>
  <c r="Y71" i="28"/>
  <c r="Y32" i="28"/>
  <c r="Y26" i="28"/>
  <c r="Y19" i="28"/>
  <c r="N83" i="28"/>
  <c r="W37" i="28"/>
  <c r="W28" i="28"/>
  <c r="X27" i="28"/>
  <c r="Y38" i="28"/>
  <c r="Q35" i="28"/>
  <c r="X30" i="28"/>
  <c r="Q22" i="28"/>
  <c r="Q40" i="28"/>
  <c r="W36" i="28"/>
  <c r="Q11" i="28"/>
  <c r="Q28" i="28"/>
  <c r="P25" i="28"/>
  <c r="Q32" i="28"/>
  <c r="Q34" i="28"/>
  <c r="T25" i="28"/>
  <c r="W19" i="28"/>
  <c r="S26" i="28"/>
  <c r="Q29" i="28"/>
  <c r="S25" i="28"/>
  <c r="Q38" i="28"/>
  <c r="T14" i="28"/>
  <c r="T71" i="28"/>
  <c r="Q41" i="28"/>
  <c r="W30" i="28"/>
  <c r="W33" i="28"/>
  <c r="Q39" i="28"/>
  <c r="Q24" i="28"/>
  <c r="W15" i="28"/>
  <c r="E183" i="27"/>
  <c r="E163" i="27"/>
  <c r="Q95" i="28"/>
  <c r="Z95" i="28"/>
  <c r="W95" i="28"/>
  <c r="P42" i="28"/>
  <c r="U33" i="28"/>
  <c r="T34" i="28"/>
  <c r="N75" i="28"/>
  <c r="Y37" i="28"/>
  <c r="O104" i="28"/>
  <c r="P31" i="28"/>
  <c r="U35" i="28"/>
  <c r="Y33" i="28"/>
  <c r="Y31" i="28"/>
  <c r="S22" i="28"/>
  <c r="N81" i="28"/>
  <c r="T37" i="28"/>
  <c r="P19" i="28"/>
  <c r="Y29" i="28"/>
  <c r="U24" i="28"/>
  <c r="P41" i="28"/>
  <c r="P17" i="28"/>
  <c r="P16" i="28"/>
  <c r="Y27" i="28"/>
  <c r="Y16" i="28"/>
  <c r="U42" i="28"/>
  <c r="P18" i="28"/>
  <c r="U29" i="28"/>
  <c r="P35" i="28"/>
  <c r="P22" i="28"/>
  <c r="U41" i="28"/>
  <c r="U15" i="28"/>
  <c r="P21" i="28"/>
  <c r="T23" i="28"/>
  <c r="T20" i="28"/>
  <c r="T22" i="28"/>
  <c r="U11" i="28"/>
  <c r="W40" i="28"/>
  <c r="S15" i="28"/>
  <c r="U14" i="28"/>
  <c r="U71" i="28"/>
  <c r="Q94" i="28"/>
  <c r="R94" i="28"/>
  <c r="V94" i="28"/>
  <c r="Z94" i="28"/>
  <c r="Q86" i="28"/>
  <c r="W86" i="28"/>
  <c r="Z86" i="28"/>
  <c r="R86" i="28"/>
  <c r="V86" i="28"/>
  <c r="Q87" i="28"/>
  <c r="S87" i="28"/>
  <c r="W87" i="28"/>
  <c r="P87" i="28"/>
  <c r="V28" i="28"/>
  <c r="R16" i="28"/>
  <c r="U17" i="28"/>
  <c r="X41" i="28"/>
  <c r="R31" i="28"/>
  <c r="P27" i="28"/>
  <c r="P20" i="28"/>
  <c r="P32" i="28"/>
  <c r="Q16" i="28"/>
  <c r="Q31" i="28"/>
  <c r="Q25" i="28"/>
  <c r="U25" i="28"/>
  <c r="U30" i="28"/>
  <c r="U32" i="28"/>
  <c r="U16" i="28"/>
  <c r="N76" i="28"/>
  <c r="P37" i="28"/>
  <c r="R42" i="28"/>
  <c r="R38" i="28"/>
  <c r="U36" i="28"/>
  <c r="Q15" i="28"/>
  <c r="X13" i="28"/>
  <c r="X43" i="28"/>
  <c r="P33" i="28"/>
  <c r="R29" i="28"/>
  <c r="P26" i="28"/>
  <c r="R34" i="28"/>
  <c r="Q26" i="28"/>
  <c r="Q20" i="28"/>
  <c r="T19" i="28"/>
  <c r="U27" i="28"/>
  <c r="W34" i="28"/>
  <c r="X19" i="28"/>
  <c r="T16" i="28"/>
  <c r="T26" i="28"/>
  <c r="Z27" i="28"/>
  <c r="W11" i="28"/>
  <c r="P36" i="28"/>
  <c r="T42" i="28"/>
  <c r="V38" i="28"/>
  <c r="Z37" i="28"/>
  <c r="P15" i="28"/>
  <c r="X14" i="28"/>
  <c r="X71" i="28"/>
  <c r="R95" i="28"/>
  <c r="X18" i="28"/>
  <c r="U20" i="28"/>
  <c r="U40" i="28"/>
  <c r="R27" i="28"/>
  <c r="P23" i="28"/>
  <c r="R20" i="28"/>
  <c r="P24" i="28"/>
  <c r="P28" i="28"/>
  <c r="Q30" i="28"/>
  <c r="Q17" i="28"/>
  <c r="U19" i="28"/>
  <c r="U22" i="28"/>
  <c r="Z32" i="28"/>
  <c r="Z33" i="28"/>
  <c r="N84" i="28"/>
  <c r="P39" i="28"/>
  <c r="Q37" i="28"/>
  <c r="R39" i="28"/>
  <c r="S42" i="28"/>
  <c r="U39" i="28"/>
  <c r="X39" i="28"/>
  <c r="R15" i="28"/>
  <c r="X31" i="28"/>
  <c r="X28" i="28"/>
  <c r="R21" i="28"/>
  <c r="V31" i="28"/>
  <c r="T11" i="28"/>
  <c r="P29" i="28"/>
  <c r="R25" i="28"/>
  <c r="Q18" i="28"/>
  <c r="R26" i="28"/>
  <c r="P30" i="28"/>
  <c r="Q23" i="28"/>
  <c r="Q33" i="28"/>
  <c r="U23" i="28"/>
  <c r="X25" i="28"/>
  <c r="U26" i="28"/>
  <c r="N78" i="28"/>
  <c r="P38" i="28"/>
  <c r="Q36" i="28"/>
  <c r="S39" i="28"/>
  <c r="U38" i="28"/>
  <c r="R11" i="28"/>
  <c r="V95" i="28"/>
  <c r="D21" i="22"/>
  <c r="I21" i="22"/>
  <c r="AH21" i="22"/>
  <c r="AA21" i="22"/>
  <c r="AM21" i="22"/>
  <c r="AB21" i="22"/>
  <c r="K21" i="22"/>
  <c r="AJ21" i="22"/>
  <c r="W21" i="22"/>
  <c r="AG21" i="22"/>
  <c r="P21" i="22"/>
  <c r="H21" i="22"/>
  <c r="AO21" i="22"/>
  <c r="AI21" i="22"/>
  <c r="AC21" i="22"/>
  <c r="P90" i="28"/>
  <c r="T90" i="28"/>
  <c r="Y90" i="28"/>
  <c r="W90" i="28"/>
  <c r="X90" i="28"/>
  <c r="U90" i="28"/>
  <c r="Q90" i="28"/>
  <c r="R90" i="28"/>
  <c r="V90" i="28"/>
  <c r="Z90" i="28"/>
  <c r="O90" i="28"/>
  <c r="X99" i="28"/>
  <c r="U99" i="28"/>
  <c r="Y99" i="28"/>
  <c r="T99" i="28"/>
  <c r="R99" i="28"/>
  <c r="V99" i="28"/>
  <c r="Z99" i="28"/>
  <c r="O99" i="28"/>
  <c r="S99" i="28"/>
  <c r="P99" i="28"/>
  <c r="W99" i="28"/>
  <c r="Q99" i="28"/>
  <c r="P98" i="28"/>
  <c r="U98" i="28"/>
  <c r="Y98" i="28"/>
  <c r="R98" i="28"/>
  <c r="V98" i="28"/>
  <c r="Z98" i="28"/>
  <c r="O98" i="28"/>
  <c r="W98" i="28"/>
  <c r="X98" i="28"/>
  <c r="Q98" i="28"/>
  <c r="T98" i="28"/>
  <c r="Q91" i="28"/>
  <c r="R91" i="28"/>
  <c r="V91" i="28"/>
  <c r="Z91" i="28"/>
  <c r="S91" i="28"/>
  <c r="O91" i="28"/>
  <c r="W91" i="28"/>
  <c r="X91" i="28"/>
  <c r="Y91" i="28"/>
  <c r="U91" i="28"/>
  <c r="P91" i="28"/>
  <c r="T91" i="28"/>
  <c r="V17" i="28"/>
  <c r="V33" i="28"/>
  <c r="Z21" i="28"/>
  <c r="Z36" i="28"/>
  <c r="V20" i="28"/>
  <c r="V21" i="28"/>
  <c r="W18" i="28"/>
  <c r="W29" i="28"/>
  <c r="Y34" i="28"/>
  <c r="W23" i="28"/>
  <c r="Y35" i="28"/>
  <c r="S31" i="28"/>
  <c r="S23" i="28"/>
  <c r="Z16" i="28"/>
  <c r="Y24" i="28"/>
  <c r="S16" i="28"/>
  <c r="S28" i="28"/>
  <c r="N73" i="28"/>
  <c r="N74" i="28"/>
  <c r="S36" i="28"/>
  <c r="W42" i="28"/>
  <c r="Z42" i="28"/>
  <c r="Z15" i="28"/>
  <c r="Y94" i="28"/>
  <c r="W13" i="28"/>
  <c r="W43" i="28"/>
  <c r="S13" i="28"/>
  <c r="S43" i="28"/>
  <c r="R23" i="28"/>
  <c r="R18" i="28"/>
  <c r="R30" i="28"/>
  <c r="U21" i="28"/>
  <c r="V30" i="28"/>
  <c r="V23" i="28"/>
  <c r="X21" i="28"/>
  <c r="Z30" i="28"/>
  <c r="Y17" i="28"/>
  <c r="W21" i="28"/>
  <c r="U18" i="28"/>
  <c r="W35" i="28"/>
  <c r="S29" i="28"/>
  <c r="Z22" i="28"/>
  <c r="X26" i="28"/>
  <c r="S32" i="28"/>
  <c r="W24" i="28"/>
  <c r="S20" i="28"/>
  <c r="Y11" i="28"/>
  <c r="U28" i="28"/>
  <c r="P40" i="28"/>
  <c r="V42" i="28"/>
  <c r="W41" i="28"/>
  <c r="X38" i="28"/>
  <c r="Z41" i="28"/>
  <c r="X15" i="28"/>
  <c r="Z87" i="28"/>
  <c r="X94" i="28"/>
  <c r="W14" i="28"/>
  <c r="W71" i="28"/>
  <c r="V87" i="28"/>
  <c r="S14" i="28"/>
  <c r="S71" i="28"/>
  <c r="R87" i="28"/>
  <c r="V32" i="28"/>
  <c r="V11" i="28"/>
  <c r="Z19" i="28"/>
  <c r="V41" i="28"/>
  <c r="V27" i="28"/>
  <c r="Z34" i="28"/>
  <c r="Y21" i="28"/>
  <c r="W17" i="28"/>
  <c r="W27" i="28"/>
  <c r="S21" i="28"/>
  <c r="S30" i="28"/>
  <c r="S24" i="28"/>
  <c r="S18" i="28"/>
  <c r="Y28" i="28"/>
  <c r="S41" i="28"/>
  <c r="V40" i="28"/>
  <c r="W39" i="28"/>
  <c r="Y40" i="28"/>
  <c r="Z39" i="28"/>
  <c r="V15" i="28"/>
  <c r="Z13" i="28"/>
  <c r="Z43" i="28"/>
  <c r="Y86" i="28"/>
  <c r="W94" i="28"/>
  <c r="V13" i="28"/>
  <c r="V43" i="28"/>
  <c r="S95" i="28"/>
  <c r="R13" i="28"/>
  <c r="R43" i="28"/>
  <c r="P11" i="28"/>
  <c r="V18" i="28"/>
  <c r="Z18" i="28"/>
  <c r="V22" i="28"/>
  <c r="V25" i="28"/>
  <c r="Z31" i="28"/>
  <c r="Y42" i="28"/>
  <c r="Z40" i="28"/>
  <c r="V16" i="28"/>
  <c r="V24" i="28"/>
  <c r="V34" i="28"/>
  <c r="V29" i="28"/>
  <c r="W26" i="28"/>
  <c r="Z35" i="28"/>
  <c r="Y23" i="28"/>
  <c r="S33" i="28"/>
  <c r="S27" i="28"/>
  <c r="Z20" i="28"/>
  <c r="S34" i="28"/>
  <c r="Z29" i="28"/>
  <c r="Z23" i="28"/>
  <c r="Z17" i="28"/>
  <c r="S11" i="28"/>
  <c r="Z11" i="28"/>
  <c r="S40" i="28"/>
  <c r="V39" i="28"/>
  <c r="W38" i="28"/>
  <c r="Y39" i="28"/>
  <c r="Z38" i="28"/>
  <c r="Z14" i="28"/>
  <c r="Z71" i="28"/>
  <c r="Y13" i="28"/>
  <c r="Y43" i="28"/>
  <c r="X86" i="28"/>
  <c r="V14" i="28"/>
  <c r="V71" i="28"/>
  <c r="S94" i="28"/>
  <c r="V26" i="28"/>
  <c r="V37" i="28"/>
  <c r="O43" i="28"/>
  <c r="V19" i="28"/>
  <c r="V35" i="28"/>
  <c r="Z26" i="28"/>
  <c r="Y30" i="28"/>
  <c r="W25" i="28"/>
  <c r="W31" i="28"/>
  <c r="Z24" i="28"/>
  <c r="S17" i="28"/>
  <c r="W32" i="28"/>
  <c r="Z25" i="28"/>
  <c r="N77" i="28"/>
  <c r="Y36" i="28"/>
  <c r="S86" i="28"/>
  <c r="P95" i="28"/>
  <c r="K105" i="35"/>
  <c r="E47" i="27"/>
  <c r="D197" i="21"/>
  <c r="P81" i="20"/>
  <c r="D208" i="21"/>
  <c r="K83" i="20"/>
  <c r="C8" i="22"/>
  <c r="E67" i="27"/>
  <c r="K106" i="35"/>
  <c r="K120" i="35"/>
  <c r="K121" i="35"/>
  <c r="P29" i="20"/>
  <c r="D199" i="21"/>
  <c r="D198" i="21"/>
  <c r="K15" i="20"/>
  <c r="L36" i="16"/>
  <c r="F13" i="32"/>
  <c r="K22" i="16"/>
  <c r="I34" i="16"/>
  <c r="G9" i="32"/>
  <c r="H34" i="16"/>
  <c r="F9" i="32"/>
  <c r="P93" i="28"/>
  <c r="S93" i="28"/>
  <c r="R93" i="28"/>
  <c r="V93" i="28"/>
  <c r="Z93" i="28"/>
  <c r="W93" i="28"/>
  <c r="O93" i="28"/>
  <c r="T93" i="28"/>
  <c r="X93" i="28"/>
  <c r="Q93" i="28"/>
  <c r="U93" i="28"/>
  <c r="Y93" i="28"/>
  <c r="O88" i="28"/>
  <c r="X88" i="28"/>
  <c r="R88" i="28"/>
  <c r="P88" i="28"/>
  <c r="V88" i="28"/>
  <c r="Z88" i="28"/>
  <c r="Q88" i="28"/>
  <c r="U88" i="28"/>
  <c r="Y88" i="28"/>
  <c r="W88" i="28"/>
  <c r="S88" i="28"/>
  <c r="T88" i="28"/>
  <c r="T83" i="28"/>
  <c r="P83" i="28"/>
  <c r="S83" i="28"/>
  <c r="W83" i="28"/>
  <c r="O83" i="28"/>
  <c r="X83" i="28"/>
  <c r="Q83" i="28"/>
  <c r="U83" i="28"/>
  <c r="Y83" i="28"/>
  <c r="R83" i="28"/>
  <c r="V83" i="28"/>
  <c r="Z83" i="28"/>
  <c r="O75" i="28"/>
  <c r="T75" i="28"/>
  <c r="P75" i="28"/>
  <c r="S75" i="28"/>
  <c r="W75" i="28"/>
  <c r="X75" i="28"/>
  <c r="Q75" i="28"/>
  <c r="U75" i="28"/>
  <c r="Y75" i="28"/>
  <c r="R75" i="28"/>
  <c r="V75" i="28"/>
  <c r="Z75" i="28"/>
  <c r="Q97" i="28"/>
  <c r="O97" i="28"/>
  <c r="T97" i="28"/>
  <c r="X97" i="28"/>
  <c r="U97" i="28"/>
  <c r="Y97" i="28"/>
  <c r="P97" i="28"/>
  <c r="R97" i="28"/>
  <c r="V97" i="28"/>
  <c r="Z97" i="28"/>
  <c r="S97" i="28"/>
  <c r="W97" i="28"/>
  <c r="W82" i="28"/>
  <c r="U82" i="28"/>
  <c r="Y82" i="28"/>
  <c r="O82" i="28"/>
  <c r="T82" i="28"/>
  <c r="X82" i="28"/>
  <c r="Q82" i="28"/>
  <c r="V82" i="28"/>
  <c r="Z82" i="28"/>
  <c r="P82" i="28"/>
  <c r="R82" i="28"/>
  <c r="S82" i="28"/>
  <c r="W74" i="28"/>
  <c r="Q74" i="28"/>
  <c r="V74" i="28"/>
  <c r="Z74" i="28"/>
  <c r="O74" i="28"/>
  <c r="T74" i="28"/>
  <c r="X74" i="28"/>
  <c r="U74" i="28"/>
  <c r="Y74" i="28"/>
  <c r="P74" i="28"/>
  <c r="R74" i="28"/>
  <c r="S74" i="28"/>
  <c r="Q78" i="28"/>
  <c r="Y78" i="28"/>
  <c r="S78" i="28"/>
  <c r="W78" i="28"/>
  <c r="X78" i="28"/>
  <c r="R78" i="28"/>
  <c r="V78" i="28"/>
  <c r="Z78" i="28"/>
  <c r="P78" i="28"/>
  <c r="T78" i="28"/>
  <c r="O78" i="28"/>
  <c r="U78" i="28"/>
  <c r="P85" i="28"/>
  <c r="S85" i="28"/>
  <c r="W85" i="28"/>
  <c r="R85" i="28"/>
  <c r="V85" i="28"/>
  <c r="Z85" i="28"/>
  <c r="O85" i="28"/>
  <c r="T85" i="28"/>
  <c r="X85" i="28"/>
  <c r="Q85" i="28"/>
  <c r="U85" i="28"/>
  <c r="Y85" i="28"/>
  <c r="P77" i="28"/>
  <c r="R77" i="28"/>
  <c r="V77" i="28"/>
  <c r="Z77" i="28"/>
  <c r="S77" i="28"/>
  <c r="W77" i="28"/>
  <c r="O77" i="28"/>
  <c r="T77" i="28"/>
  <c r="X77" i="28"/>
  <c r="Q77" i="28"/>
  <c r="U77" i="28"/>
  <c r="Y77" i="28"/>
  <c r="Q70" i="28"/>
  <c r="O70" i="28"/>
  <c r="Q89" i="28"/>
  <c r="U89" i="28"/>
  <c r="O89" i="28"/>
  <c r="T89" i="28"/>
  <c r="X89" i="28"/>
  <c r="Y89" i="28"/>
  <c r="P89" i="28"/>
  <c r="R89" i="28"/>
  <c r="V89" i="28"/>
  <c r="Z89" i="28"/>
  <c r="S89" i="28"/>
  <c r="W89" i="28"/>
  <c r="R84" i="28"/>
  <c r="Z84" i="28"/>
  <c r="T84" i="28"/>
  <c r="X84" i="28"/>
  <c r="Y84" i="28"/>
  <c r="S84" i="28"/>
  <c r="W84" i="28"/>
  <c r="O84" i="28"/>
  <c r="P84" i="28"/>
  <c r="U84" i="28"/>
  <c r="Q84" i="28"/>
  <c r="V84" i="28"/>
  <c r="R76" i="28"/>
  <c r="Z76" i="28"/>
  <c r="T76" i="28"/>
  <c r="X76" i="28"/>
  <c r="Y76" i="28"/>
  <c r="S76" i="28"/>
  <c r="W76" i="28"/>
  <c r="O76" i="28"/>
  <c r="P76" i="28"/>
  <c r="U76" i="28"/>
  <c r="Q76" i="28"/>
  <c r="V76" i="28"/>
  <c r="O96" i="28"/>
  <c r="X96" i="28"/>
  <c r="R96" i="28"/>
  <c r="V96" i="28"/>
  <c r="W96" i="28"/>
  <c r="P96" i="28"/>
  <c r="Q96" i="28"/>
  <c r="U96" i="28"/>
  <c r="Y96" i="28"/>
  <c r="Z96" i="28"/>
  <c r="S96" i="28"/>
  <c r="T96" i="28"/>
  <c r="Q81" i="28"/>
  <c r="U81" i="28"/>
  <c r="P81" i="28"/>
  <c r="O81" i="28"/>
  <c r="T81" i="28"/>
  <c r="X81" i="28"/>
  <c r="Y81" i="28"/>
  <c r="R81" i="28"/>
  <c r="V81" i="28"/>
  <c r="Z81" i="28"/>
  <c r="S81" i="28"/>
  <c r="W81" i="28"/>
  <c r="Q73" i="28"/>
  <c r="P73" i="28"/>
  <c r="O73" i="28"/>
  <c r="T73" i="28"/>
  <c r="X73" i="28"/>
  <c r="U73" i="28"/>
  <c r="Y73" i="28"/>
  <c r="R73" i="28"/>
  <c r="V73" i="28"/>
  <c r="Z73" i="28"/>
  <c r="S73" i="28"/>
  <c r="W73" i="28"/>
  <c r="R92" i="28"/>
  <c r="Z92" i="28"/>
  <c r="T92" i="28"/>
  <c r="X92" i="28"/>
  <c r="S92" i="28"/>
  <c r="W92" i="28"/>
  <c r="Y92" i="28"/>
  <c r="O92" i="28"/>
  <c r="P92" i="28"/>
  <c r="U92" i="28"/>
  <c r="Q92" i="28"/>
  <c r="V92" i="28"/>
  <c r="O80" i="28"/>
  <c r="X80" i="28"/>
  <c r="R80" i="28"/>
  <c r="W80" i="28"/>
  <c r="Q80" i="28"/>
  <c r="U80" i="28"/>
  <c r="Y80" i="28"/>
  <c r="V80" i="28"/>
  <c r="Z80" i="28"/>
  <c r="P80" i="28"/>
  <c r="S80" i="28"/>
  <c r="T80" i="28"/>
  <c r="O72" i="28"/>
  <c r="X72" i="28"/>
  <c r="R72" i="28"/>
  <c r="V72" i="28"/>
  <c r="Z72" i="28"/>
  <c r="Q72" i="28"/>
  <c r="U72" i="28"/>
  <c r="Y72" i="28"/>
  <c r="W72" i="28"/>
  <c r="P72" i="28"/>
  <c r="S72" i="28"/>
  <c r="T72" i="28"/>
  <c r="R79" i="28"/>
  <c r="P79" i="28"/>
  <c r="Q79" i="28"/>
  <c r="U79" i="28"/>
  <c r="Y79" i="28"/>
  <c r="V79" i="28"/>
  <c r="Z79" i="28"/>
  <c r="S79" i="28"/>
  <c r="W79" i="28"/>
  <c r="O79" i="28"/>
  <c r="T79" i="28"/>
  <c r="X79" i="28"/>
  <c r="P71" i="28"/>
  <c r="R71" i="28"/>
  <c r="O71" i="28"/>
  <c r="U94" i="28"/>
  <c r="U86" i="28"/>
  <c r="U13" i="28"/>
  <c r="U43" i="28"/>
  <c r="S98" i="28"/>
  <c r="S90" i="28"/>
  <c r="Q27" i="28"/>
  <c r="Q21" i="28"/>
  <c r="T17" i="28"/>
  <c r="T33" i="28"/>
  <c r="U31" i="28"/>
  <c r="Y22" i="28"/>
  <c r="Y25" i="28"/>
  <c r="X20" i="28"/>
  <c r="U34" i="28"/>
  <c r="Y20" i="28"/>
  <c r="N82" i="28"/>
  <c r="Q42" i="28"/>
  <c r="T38" i="28"/>
  <c r="X42" i="28"/>
  <c r="Y41" i="28"/>
  <c r="X95" i="28"/>
  <c r="X87" i="28"/>
  <c r="T95" i="28"/>
  <c r="T87" i="28"/>
  <c r="O95" i="28"/>
  <c r="O87" i="28"/>
  <c r="Q14" i="28"/>
  <c r="Q71" i="28"/>
  <c r="O94" i="28"/>
  <c r="O86" i="28"/>
  <c r="T94" i="28"/>
  <c r="T86" i="28"/>
  <c r="T13" i="28"/>
  <c r="T43" i="28"/>
  <c r="T21" i="28"/>
  <c r="X32" i="28"/>
  <c r="X23" i="28"/>
  <c r="X16" i="28"/>
  <c r="T24" i="28"/>
  <c r="X11" i="28"/>
  <c r="N80" i="28"/>
  <c r="T36" i="28"/>
  <c r="X40" i="28"/>
  <c r="O105" i="28"/>
  <c r="P94" i="28"/>
  <c r="P86" i="28"/>
  <c r="X35" i="28"/>
  <c r="X34" i="28"/>
  <c r="T41" i="28"/>
  <c r="X37" i="28"/>
  <c r="T15" i="28"/>
  <c r="X29" i="28"/>
  <c r="X24" i="28"/>
  <c r="T18" i="28"/>
  <c r="T40" i="28"/>
  <c r="X36" i="28"/>
  <c r="Y95" i="28"/>
  <c r="Y87" i="28"/>
  <c r="U95" i="28"/>
  <c r="U87" i="28"/>
  <c r="P13" i="28"/>
  <c r="P43" i="28"/>
  <c r="T27" i="28"/>
  <c r="T29" i="28"/>
  <c r="T31" i="28"/>
  <c r="X17" i="28"/>
  <c r="X33" i="28"/>
  <c r="T30" i="28"/>
  <c r="T28" i="28"/>
  <c r="K32" i="35"/>
  <c r="K54" i="35"/>
  <c r="K33" i="35"/>
  <c r="I28" i="9"/>
  <c r="D23" i="32"/>
  <c r="L29" i="9"/>
  <c r="C30" i="32"/>
  <c r="C17" i="32"/>
  <c r="H29" i="9"/>
  <c r="C24" i="32"/>
  <c r="D29" i="9"/>
  <c r="C18" i="32"/>
  <c r="D17" i="22"/>
  <c r="D18" i="22"/>
  <c r="D19" i="22"/>
  <c r="D20" i="22"/>
  <c r="E16" i="22"/>
  <c r="F16" i="22"/>
  <c r="C25" i="22"/>
  <c r="X70" i="28"/>
  <c r="X100" i="28"/>
  <c r="W70" i="28"/>
  <c r="W100" i="28"/>
  <c r="V70" i="28"/>
  <c r="V100" i="28"/>
  <c r="Y70" i="28"/>
  <c r="Y100" i="28"/>
  <c r="S70" i="28"/>
  <c r="S100" i="28"/>
  <c r="R70" i="28"/>
  <c r="R100" i="28"/>
  <c r="Z70" i="28"/>
  <c r="Z100" i="28"/>
  <c r="D143" i="35"/>
  <c r="D203" i="21"/>
  <c r="J31" i="20"/>
  <c r="H44" i="20"/>
  <c r="H45" i="20"/>
  <c r="H92" i="20"/>
  <c r="H93" i="20"/>
  <c r="I143" i="35"/>
  <c r="P70" i="28"/>
  <c r="P100" i="28"/>
  <c r="U70" i="28"/>
  <c r="U100" i="28"/>
  <c r="T70" i="28"/>
  <c r="T100" i="28"/>
  <c r="Q100" i="28"/>
  <c r="O100" i="28"/>
  <c r="E17" i="22"/>
  <c r="E18" i="22"/>
  <c r="E19" i="22"/>
  <c r="E20" i="22"/>
  <c r="G16" i="22"/>
  <c r="F17" i="22"/>
  <c r="D202" i="21"/>
  <c r="O102" i="28"/>
  <c r="F18" i="22"/>
  <c r="F19" i="22"/>
  <c r="F20" i="22"/>
  <c r="H16" i="22"/>
  <c r="G17" i="22"/>
  <c r="G18" i="22"/>
  <c r="G19" i="22"/>
  <c r="G20" i="22"/>
  <c r="O107" i="28"/>
  <c r="O106" i="28"/>
  <c r="D186" i="27"/>
  <c r="D187" i="27"/>
  <c r="I16" i="22"/>
  <c r="H17" i="22"/>
  <c r="H18" i="22"/>
  <c r="H19" i="22"/>
  <c r="H20" i="22"/>
  <c r="J16" i="22"/>
  <c r="I17" i="22"/>
  <c r="I18" i="22"/>
  <c r="I19" i="22"/>
  <c r="I20" i="22"/>
  <c r="J17" i="22"/>
  <c r="J18" i="22"/>
  <c r="J19" i="22"/>
  <c r="J20" i="22"/>
  <c r="K16" i="22"/>
  <c r="K17" i="22"/>
  <c r="K18" i="22"/>
  <c r="K19" i="22"/>
  <c r="K20" i="22"/>
  <c r="L16" i="22"/>
  <c r="L17" i="22"/>
  <c r="L18" i="22"/>
  <c r="L19" i="22"/>
  <c r="L20" i="22"/>
  <c r="M16" i="22"/>
  <c r="M17" i="22"/>
  <c r="M18" i="22"/>
  <c r="M19" i="22"/>
  <c r="M20" i="22"/>
  <c r="N16" i="22"/>
  <c r="O16" i="22"/>
  <c r="N17" i="22"/>
  <c r="N18" i="22"/>
  <c r="N19" i="22"/>
  <c r="N20" i="22"/>
  <c r="P16" i="22"/>
  <c r="O17" i="22"/>
  <c r="O18" i="22"/>
  <c r="O19" i="22"/>
  <c r="O20" i="22"/>
  <c r="Q16" i="22"/>
  <c r="P17" i="22"/>
  <c r="P18" i="22"/>
  <c r="P19" i="22"/>
  <c r="P20" i="22"/>
  <c r="R16" i="22"/>
  <c r="Q17" i="22"/>
  <c r="Q18" i="22"/>
  <c r="Q19" i="22"/>
  <c r="Q20" i="22"/>
  <c r="R17" i="22"/>
  <c r="R18" i="22"/>
  <c r="R19" i="22"/>
  <c r="R20" i="22"/>
  <c r="S16" i="22"/>
  <c r="S17" i="22"/>
  <c r="S18" i="22"/>
  <c r="S19" i="22"/>
  <c r="S20" i="22"/>
  <c r="T16" i="22"/>
  <c r="U16" i="22"/>
  <c r="T17" i="22"/>
  <c r="T18" i="22"/>
  <c r="T19" i="22"/>
  <c r="T20" i="22"/>
  <c r="U17" i="22"/>
  <c r="U18" i="22"/>
  <c r="U19" i="22"/>
  <c r="U20" i="22"/>
  <c r="V16" i="22"/>
  <c r="V17" i="22"/>
  <c r="V18" i="22"/>
  <c r="V19" i="22"/>
  <c r="V20" i="22"/>
  <c r="W16" i="22"/>
  <c r="X16" i="22"/>
  <c r="W17" i="22"/>
  <c r="W18" i="22"/>
  <c r="W19" i="22"/>
  <c r="W20" i="22"/>
  <c r="Y16" i="22"/>
  <c r="X17" i="22"/>
  <c r="X18" i="22"/>
  <c r="X19" i="22"/>
  <c r="X20" i="22"/>
  <c r="Y17" i="22"/>
  <c r="Y18" i="22"/>
  <c r="Y19" i="22"/>
  <c r="Y20" i="22"/>
  <c r="Z16" i="22"/>
  <c r="Z17" i="22"/>
  <c r="Z18" i="22"/>
  <c r="Z19" i="22"/>
  <c r="Z20" i="22"/>
  <c r="AA16" i="22"/>
  <c r="AA17" i="22"/>
  <c r="AA18" i="22"/>
  <c r="AA19" i="22"/>
  <c r="AA20" i="22"/>
  <c r="AB16" i="22"/>
  <c r="AC16" i="22"/>
  <c r="AB17" i="22"/>
  <c r="AB18" i="22"/>
  <c r="AB19" i="22"/>
  <c r="AB20" i="22"/>
  <c r="AC17" i="22"/>
  <c r="AC18" i="22"/>
  <c r="AC19" i="22"/>
  <c r="AC20" i="22"/>
  <c r="AD16" i="22"/>
  <c r="AE16" i="22"/>
  <c r="AD17" i="22"/>
  <c r="AD18" i="22"/>
  <c r="AD19" i="22"/>
  <c r="AD20" i="22"/>
  <c r="AE17" i="22"/>
  <c r="AE18" i="22"/>
  <c r="AE19" i="22"/>
  <c r="AE20" i="22"/>
  <c r="AF16" i="22"/>
  <c r="AF17" i="22"/>
  <c r="AF18" i="22"/>
  <c r="AF19" i="22"/>
  <c r="AF20" i="22"/>
  <c r="AG16" i="22"/>
  <c r="AG17" i="22"/>
  <c r="AG18" i="22"/>
  <c r="AG19" i="22"/>
  <c r="AG20" i="22"/>
  <c r="AH16" i="22"/>
  <c r="AH17" i="22"/>
  <c r="AH18" i="22"/>
  <c r="AH19" i="22"/>
  <c r="AH20" i="22"/>
  <c r="AI16" i="22"/>
  <c r="AI17" i="22"/>
  <c r="AI18" i="22"/>
  <c r="AI19" i="22"/>
  <c r="AI20" i="22"/>
  <c r="AJ16" i="22"/>
  <c r="AJ17" i="22"/>
  <c r="AJ18" i="22"/>
  <c r="AJ19" i="22"/>
  <c r="AJ20" i="22"/>
  <c r="AK16" i="22"/>
  <c r="AK17" i="22"/>
  <c r="AK18" i="22"/>
  <c r="AK19" i="22"/>
  <c r="AK20" i="22"/>
  <c r="AL16" i="22"/>
  <c r="AL17" i="22"/>
  <c r="AL18" i="22"/>
  <c r="AL19" i="22"/>
  <c r="AL20" i="22"/>
  <c r="AM16" i="22"/>
  <c r="AN16" i="22"/>
  <c r="AM17" i="22"/>
  <c r="AM18" i="22"/>
  <c r="AM19" i="22"/>
  <c r="AM20" i="22"/>
  <c r="AN17" i="22"/>
  <c r="AN18" i="22"/>
  <c r="AN19" i="22"/>
  <c r="AN20" i="22"/>
  <c r="AO16" i="22"/>
  <c r="AO17" i="22"/>
  <c r="AO18" i="22"/>
  <c r="AO19" i="22"/>
  <c r="AO20" i="22"/>
  <c r="AP16" i="22"/>
  <c r="AP17" i="22"/>
  <c r="AP18" i="22"/>
  <c r="AP19" i="22"/>
  <c r="AP20" i="22"/>
  <c r="AQ16" i="22"/>
  <c r="AQ17" i="22"/>
  <c r="B25" i="22"/>
  <c r="AQ18" i="22"/>
  <c r="AQ19" i="22"/>
  <c r="AQ20" i="22"/>
</calcChain>
</file>

<file path=xl/comments1.xml><?xml version="1.0" encoding="utf-8"?>
<comments xmlns="http://schemas.openxmlformats.org/spreadsheetml/2006/main">
  <authors>
    <author>Aletea Madacki</author>
  </authors>
  <commentList>
    <comment ref="D13" authorId="0">
      <text>
        <r>
          <rPr>
            <sz val="9"/>
            <color indexed="81"/>
            <rFont val="Tahoma"/>
            <family val="2"/>
          </rPr>
          <t xml:space="preserve">Utilize esse campo para inserir outras informações sobre o objeto de análise. </t>
        </r>
      </text>
    </comment>
  </commentList>
</comments>
</file>

<file path=xl/comments10.xml><?xml version="1.0" encoding="utf-8"?>
<comments xmlns="http://schemas.openxmlformats.org/spreadsheetml/2006/main">
  <authors>
    <author>Natalia Lutti Hummel</author>
  </authors>
  <commentList>
    <comment ref="O111" authorId="0">
      <text>
        <r>
          <rPr>
            <b/>
            <sz val="9"/>
            <color indexed="81"/>
            <rFont val="Tahoma"/>
            <family val="2"/>
          </rPr>
          <t>Natalia Lutti Hummel:</t>
        </r>
        <r>
          <rPr>
            <sz val="9"/>
            <color indexed="81"/>
            <rFont val="Tahoma"/>
            <family val="2"/>
          </rPr>
          <t xml:space="preserve">
Prioridade: 1) número inserido pelo usuário; 2) fórmula da DEVESE que requere Gppaca e Pmcaj; 3) número da dados. </t>
        </r>
      </text>
    </comment>
  </commentList>
</comments>
</file>

<file path=xl/comments11.xml><?xml version="1.0" encoding="utf-8"?>
<comments xmlns="http://schemas.openxmlformats.org/spreadsheetml/2006/main">
  <authors>
    <author>Natalia Lutti Hummel</author>
  </authors>
  <commentList>
    <comment ref="C68" authorId="0">
      <text>
        <r>
          <rPr>
            <b/>
            <sz val="9"/>
            <color indexed="81"/>
            <rFont val="Tahoma"/>
            <family val="2"/>
          </rPr>
          <t>Perda de nutrientes do solo</t>
        </r>
      </text>
    </comment>
    <comment ref="C143" authorId="0">
      <text>
        <r>
          <rPr>
            <b/>
            <sz val="9"/>
            <color indexed="81"/>
            <rFont val="Tahoma"/>
            <family val="2"/>
          </rPr>
          <t>Turbidez no corpo d’água</t>
        </r>
      </text>
    </comment>
  </commentList>
</comments>
</file>

<file path=xl/comments12.xml><?xml version="1.0" encoding="utf-8"?>
<comments xmlns="http://schemas.openxmlformats.org/spreadsheetml/2006/main">
  <authors>
    <author>Natalia Lutti Hummel</author>
  </authors>
  <commentList>
    <comment ref="F23" authorId="0">
      <text>
        <r>
          <rPr>
            <b/>
            <sz val="8"/>
            <color indexed="81"/>
            <rFont val="Tahoma"/>
            <family val="2"/>
          </rPr>
          <t xml:space="preserve">http://ainfo.cnptia.embrapa.br/digital/bitstream/item/37310/1/28.pdf 
</t>
        </r>
      </text>
    </comment>
  </commentList>
</comments>
</file>

<file path=xl/comments2.xml><?xml version="1.0" encoding="utf-8"?>
<comments xmlns="http://schemas.openxmlformats.org/spreadsheetml/2006/main">
  <authors>
    <author>Natalia Lutti Hummel</author>
  </authors>
  <commentList>
    <comment ref="C26" authorId="0">
      <text>
        <r>
          <rPr>
            <sz val="9"/>
            <color indexed="81"/>
            <rFont val="Tahoma"/>
            <family val="2"/>
          </rPr>
          <t>Dependência de quantidade de água.</t>
        </r>
      </text>
    </comment>
    <comment ref="G26" authorId="0">
      <text>
        <r>
          <rPr>
            <sz val="9"/>
            <color indexed="81"/>
            <rFont val="Tahoma"/>
            <family val="2"/>
          </rPr>
          <t>Déficit hídrico que efetivamente compromete os níveis de produção.</t>
        </r>
      </text>
    </comment>
    <comment ref="K26" authorId="0">
      <text>
        <r>
          <rPr>
            <sz val="9"/>
            <color indexed="81"/>
            <rFont val="Tahoma"/>
            <family val="2"/>
          </rPr>
          <t>Balanço hídrico do uso de água pela empresa.</t>
        </r>
      </text>
    </comment>
  </commentList>
</comments>
</file>

<file path=xl/comments3.xml><?xml version="1.0" encoding="utf-8"?>
<comments xmlns="http://schemas.openxmlformats.org/spreadsheetml/2006/main">
  <authors>
    <author>Natalia Lutti Hummel</author>
  </authors>
  <commentList>
    <comment ref="C34" authorId="0">
      <text>
        <r>
          <rPr>
            <sz val="9"/>
            <color indexed="81"/>
            <rFont val="Tahoma"/>
            <family val="2"/>
          </rPr>
          <t>Quantidade de biomassa combustível necessária para a produção ou prestação de serviços pela empresa.</t>
        </r>
      </text>
    </comment>
    <comment ref="G34" authorId="0">
      <text>
        <r>
          <rPr>
            <sz val="9"/>
            <color indexed="81"/>
            <rFont val="Tahoma"/>
            <family val="2"/>
          </rPr>
          <t>Impacto da perda de biomassa combustível.</t>
        </r>
      </text>
    </comment>
    <comment ref="K34" authorId="0">
      <text>
        <r>
          <rPr>
            <sz val="9"/>
            <color indexed="81"/>
            <rFont val="Tahoma"/>
            <family val="2"/>
          </rPr>
          <t>Externalidade associada à mudança de uso da terra em favor da produção de biomassa combustível.</t>
        </r>
      </text>
    </comment>
    <comment ref="K35" authorId="0">
      <text>
        <r>
          <rPr>
            <sz val="9"/>
            <color indexed="81"/>
            <rFont val="Tahoma"/>
            <family val="2"/>
          </rPr>
          <t>Externalidade decorrente de emissões evitadas de GEE da alternativa energética mais custo-eficaz para a empresa se tal alternativa for combustível fóssil.</t>
        </r>
      </text>
    </comment>
    <comment ref="K43" authorId="0">
      <text>
        <r>
          <rPr>
            <sz val="9"/>
            <color indexed="81"/>
            <rFont val="Tahoma"/>
            <family val="2"/>
          </rPr>
          <t>Externalidade decorrente de emissões evitadas de GEE da alternativa energética mais custo-eficaz para a empresa se tal alternativa for combustível fóssil.</t>
        </r>
      </text>
    </comment>
  </commentList>
</comments>
</file>

<file path=xl/comments4.xml><?xml version="1.0" encoding="utf-8"?>
<comments xmlns="http://schemas.openxmlformats.org/spreadsheetml/2006/main">
  <authors>
    <author>Natalia Lutti Hummel</author>
  </authors>
  <commentList>
    <comment ref="E4" authorId="0">
      <text>
        <r>
          <rPr>
            <sz val="9"/>
            <color indexed="81"/>
            <rFont val="Tahoma"/>
            <family val="2"/>
          </rPr>
          <t>Considera também CH4 e N20. 
Foi utilizado o GWP do AR4 IPCC.</t>
        </r>
      </text>
    </comment>
  </commentList>
</comments>
</file>

<file path=xl/comments5.xml><?xml version="1.0" encoding="utf-8"?>
<comments xmlns="http://schemas.openxmlformats.org/spreadsheetml/2006/main">
  <authors>
    <author>Natalia Lutti Hummel</author>
  </authors>
  <commentList>
    <comment ref="C28" authorId="0">
      <text>
        <r>
          <rPr>
            <sz val="9"/>
            <color indexed="81"/>
            <rFont val="Tahoma"/>
            <family val="2"/>
          </rPr>
          <t>Dependência da empresa em relação ao serviço ecossistêmico de regulação da qualidade da água.</t>
        </r>
      </text>
    </comment>
    <comment ref="G28" authorId="0">
      <text>
        <r>
          <rPr>
            <sz val="9"/>
            <color indexed="81"/>
            <rFont val="Tahoma"/>
            <family val="2"/>
          </rPr>
          <t>Impacto da ausência ou limitação de serviços ecossistêmicos na regulação da qualidade da água captada pela empresa.</t>
        </r>
      </text>
    </comment>
    <comment ref="K28" authorId="0">
      <text>
        <r>
          <rPr>
            <sz val="9"/>
            <color indexed="81"/>
            <rFont val="Tahoma"/>
            <family val="2"/>
          </rPr>
          <t>Externalidade, ou impacto das atividades da empresa na qualidade da água utilizada por outros usuários que não a própria empresa.</t>
        </r>
      </text>
    </comment>
  </commentList>
</comments>
</file>

<file path=xl/comments6.xml><?xml version="1.0" encoding="utf-8"?>
<comments xmlns="http://schemas.openxmlformats.org/spreadsheetml/2006/main">
  <authors>
    <author>Raquel Toledo Modesto de Souza</author>
  </authors>
  <commentList>
    <comment ref="A14" authorId="0">
      <text>
        <r>
          <rPr>
            <sz val="9"/>
            <color indexed="81"/>
            <rFont val="Tahoma"/>
            <family val="2"/>
          </rPr>
          <t>Para o uso de recreação de contato primário deverão ser obedecidos os padrões de qualidade de balneabilidade, previstos na Resolução CONAMA 274, de 2000.</t>
        </r>
      </text>
    </comment>
    <comment ref="D14" authorId="0">
      <text>
        <r>
          <rPr>
            <sz val="9"/>
            <color indexed="81"/>
            <rFont val="Tahoma"/>
            <family val="2"/>
          </rPr>
          <t>Para o uso de
Recreação de contato secundário: até 2.500 coliformes termotolerantes por 100 mililitros em 80% ou mais de pelo menos 6 amostras, coletadas durante o período de um ano, com freqüência bimestral. 
Dessedentação de animais criados confinados: até 1.000 coliformes termotolerantes por 100 mililitros em 80% ou mais de pelo menos 6 amostras, coletadas durante o período de um ano, com frequência bimestral.</t>
        </r>
      </text>
    </comment>
  </commentList>
</comments>
</file>

<file path=xl/comments7.xml><?xml version="1.0" encoding="utf-8"?>
<comments xmlns="http://schemas.openxmlformats.org/spreadsheetml/2006/main">
  <authors>
    <author>Natalia Lutti Hummel</author>
  </authors>
  <commentList>
    <comment ref="G18" authorId="0">
      <text>
        <r>
          <rPr>
            <sz val="10"/>
            <color indexed="81"/>
            <rFont val="Tahoma"/>
            <family val="2"/>
          </rPr>
          <t>Refere-se à degradação da qualidade de corpos d’água à jusante do ponto de lançamento de efluentes pela empresa, em função de sua carga poluidora, afetando assim a qualidade da água disponível para outros atores sociais.</t>
        </r>
        <r>
          <rPr>
            <sz val="9"/>
            <color indexed="81"/>
            <rFont val="Tahoma"/>
            <family val="2"/>
          </rPr>
          <t xml:space="preserve">
</t>
        </r>
      </text>
    </comment>
  </commentList>
</comments>
</file>

<file path=xl/comments8.xml><?xml version="1.0" encoding="utf-8"?>
<comments xmlns="http://schemas.openxmlformats.org/spreadsheetml/2006/main">
  <authors>
    <author>Natalia Lutti Hummel</author>
  </authors>
  <commentList>
    <comment ref="I10" authorId="0">
      <text>
        <r>
          <rPr>
            <sz val="9"/>
            <color indexed="81"/>
            <rFont val="Tahoma"/>
            <family val="2"/>
          </rPr>
          <t>Introdução de espécies nativas por plantio em toda a área. Normalmente adotado em áreas altamente desmatadas e de baixo potencial de regeneração natural.</t>
        </r>
      </text>
    </comment>
    <comment ref="I11" authorId="0">
      <text>
        <r>
          <rPr>
            <sz val="9"/>
            <color indexed="81"/>
            <rFont val="Tahoma"/>
            <family val="2"/>
          </rPr>
          <t>Preenchimento dos espaços vazios na área, normalmente com espécies pioneiras ou secundárias iniciais.</t>
        </r>
      </text>
    </comment>
    <comment ref="I12" authorId="0">
      <text>
        <r>
          <rPr>
            <sz val="9"/>
            <color indexed="81"/>
            <rFont val="Tahoma"/>
            <family val="2"/>
          </rPr>
          <t>Introdução de espécies dos estágios finais de sucessão, principalmente espécies atrativas para a fauna, com o intuito de aumentar a diversidade da vegetação local.</t>
        </r>
      </text>
    </comment>
    <comment ref="I13" authorId="0">
      <text>
        <r>
          <rPr>
            <sz val="9"/>
            <color indexed="81"/>
            <rFont val="Tahoma"/>
            <family val="2"/>
          </rPr>
          <t>Proteção da área contra fatores de degradação da vegetação, tais como fogo e gado, dentre outros.</t>
        </r>
      </text>
    </comment>
    <comment ref="D19" authorId="0">
      <text>
        <r>
          <rPr>
            <sz val="9"/>
            <color indexed="81"/>
            <rFont val="Tahoma"/>
            <family val="2"/>
          </rPr>
          <t>Trata-se do grau de implantação do projeto, se floresta em crescimento ainda atribuir a % correspondente.</t>
        </r>
      </text>
    </comment>
    <comment ref="G92" authorId="0">
      <text>
        <r>
          <rPr>
            <sz val="9"/>
            <color indexed="81"/>
            <rFont val="Tahoma"/>
            <family val="2"/>
          </rPr>
          <t>Emissões evitadas líquidas.</t>
        </r>
      </text>
    </comment>
  </commentList>
</comments>
</file>

<file path=xl/comments9.xml><?xml version="1.0" encoding="utf-8"?>
<comments xmlns="http://schemas.openxmlformats.org/spreadsheetml/2006/main">
  <authors>
    <author>Natalia Lutti Hummel</author>
  </authors>
  <commentList>
    <comment ref="L16" authorId="0">
      <text>
        <r>
          <rPr>
            <sz val="9"/>
            <color indexed="81"/>
            <rFont val="Tahoma"/>
            <family val="2"/>
          </rPr>
          <t>Em sua unidade física comum (toneladas, etc.) e por ha.</t>
        </r>
      </text>
    </comment>
    <comment ref="L17" authorId="0">
      <text>
        <r>
          <rPr>
            <sz val="9"/>
            <color indexed="81"/>
            <rFont val="Tahoma"/>
            <family val="2"/>
          </rPr>
          <t>Em sua unidade física comum (toneladas, etc.) e por ha.</t>
        </r>
      </text>
    </comment>
    <comment ref="L18" authorId="0">
      <text>
        <r>
          <rPr>
            <sz val="9"/>
            <color indexed="81"/>
            <rFont val="Tahoma"/>
            <family val="2"/>
          </rPr>
          <t xml:space="preserve">Pode ser medido em colônias de abelhas alugadas, horas de trabalho de polinização manual ou outras unidades apropriadas, por ha. </t>
        </r>
      </text>
    </comment>
    <comment ref="L19" authorId="0">
      <text>
        <r>
          <rPr>
            <sz val="9"/>
            <color indexed="81"/>
            <rFont val="Tahoma"/>
            <family val="2"/>
          </rPr>
          <t>Em reais por esforço. Exemplo: R$/colônias ou R$/horas de trabalho manual de polinização.</t>
        </r>
      </text>
    </comment>
    <comment ref="L22" authorId="0">
      <text>
        <r>
          <rPr>
            <sz val="9"/>
            <color indexed="81"/>
            <rFont val="Tahoma"/>
            <family val="2"/>
          </rPr>
          <t xml:space="preserve">Pode ser medida em colônias de abelhas alugadas ou horas trabalho de polinização manual. Se você já tiver o dado por há, considere Ajn =1. </t>
        </r>
      </text>
    </comment>
    <comment ref="L23" authorId="0">
      <text>
        <r>
          <rPr>
            <sz val="9"/>
            <color indexed="81"/>
            <rFont val="Tahoma"/>
            <family val="2"/>
          </rPr>
          <t>Em reais por esforço. Exemplo: R$/colônias ou R$/horas de trabalho manual de polinização.</t>
        </r>
      </text>
    </comment>
    <comment ref="C30" authorId="0">
      <text>
        <r>
          <rPr>
            <sz val="9"/>
            <color indexed="81"/>
            <rFont val="Tahoma"/>
            <family val="2"/>
          </rPr>
          <t xml:space="preserve">Dependência de polinização por abelhas da cultura agrícola </t>
        </r>
        <r>
          <rPr>
            <i/>
            <sz val="9"/>
            <color indexed="81"/>
            <rFont val="Tahoma"/>
            <family val="2"/>
          </rPr>
          <t>j</t>
        </r>
        <r>
          <rPr>
            <sz val="9"/>
            <color indexed="81"/>
            <rFont val="Tahoma"/>
            <family val="2"/>
          </rPr>
          <t xml:space="preserve">.
</t>
        </r>
      </text>
    </comment>
    <comment ref="C49" authorId="0">
      <text>
        <r>
          <rPr>
            <sz val="9"/>
            <color indexed="81"/>
            <rFont val="Tahoma"/>
            <family val="2"/>
          </rPr>
          <t>Representa a parcela da produtividade dependente de polinização por abelhas e efetivamente realizada.</t>
        </r>
      </text>
    </comment>
    <comment ref="E50" authorId="0">
      <text>
        <r>
          <rPr>
            <b/>
            <sz val="9"/>
            <color indexed="81"/>
            <rFont val="Tahoma"/>
            <family val="2"/>
          </rPr>
          <t>Natalia Lutti Hummel:</t>
        </r>
        <r>
          <rPr>
            <sz val="9"/>
            <color indexed="81"/>
            <rFont val="Tahoma"/>
            <family val="2"/>
          </rPr>
          <t xml:space="preserve">
horas ou colônias por ha</t>
        </r>
      </text>
    </comment>
    <comment ref="L82" authorId="0">
      <text>
        <r>
          <rPr>
            <sz val="9"/>
            <color indexed="81"/>
            <rFont val="Tahoma"/>
            <family val="2"/>
          </rPr>
          <t>Unidade física comum (toneladas, etc.) e por ha.</t>
        </r>
      </text>
    </comment>
    <comment ref="L83" authorId="0">
      <text>
        <r>
          <rPr>
            <sz val="9"/>
            <color indexed="81"/>
            <rFont val="Tahoma"/>
            <family val="2"/>
          </rPr>
          <t>Em R$ é mesma unidade física de Pmcaj.</t>
        </r>
      </text>
    </comment>
    <comment ref="L87" authorId="0">
      <text>
        <r>
          <rPr>
            <sz val="9"/>
            <color indexed="81"/>
            <rFont val="Tahoma"/>
            <family val="2"/>
          </rPr>
          <t xml:space="preserve">Unidade física comum (toneladas, etc.) e por ha.
</t>
        </r>
      </text>
    </comment>
    <comment ref="C102" authorId="0">
      <text>
        <r>
          <rPr>
            <sz val="9"/>
            <color indexed="81"/>
            <rFont val="Tahoma"/>
            <family val="2"/>
          </rPr>
          <t xml:space="preserve">Caso o diagnóstico de campo envolva mais de uma área estudada, preencha para m1 os dados da área com maior riqueza de espécie.  </t>
        </r>
      </text>
    </comment>
    <comment ref="E103" authorId="0">
      <text>
        <r>
          <rPr>
            <sz val="9"/>
            <color indexed="81"/>
            <rFont val="Tahoma"/>
            <family val="2"/>
          </rPr>
          <t>Abundância = número de espécimes (indivíduos) da espécie i na área m, por ha</t>
        </r>
        <r>
          <rPr>
            <b/>
            <sz val="9"/>
            <color indexed="81"/>
            <rFont val="Tahoma"/>
            <family val="2"/>
          </rPr>
          <t>.</t>
        </r>
      </text>
    </comment>
    <comment ref="Q124" authorId="0">
      <text>
        <r>
          <rPr>
            <sz val="9"/>
            <color indexed="81"/>
            <rFont val="Tahoma"/>
            <family val="2"/>
          </rPr>
          <t>Distância entre a base das asas.</t>
        </r>
      </text>
    </comment>
    <comment ref="C186" authorId="0">
      <text>
        <r>
          <rPr>
            <sz val="9"/>
            <color indexed="81"/>
            <rFont val="Tahoma"/>
            <family val="2"/>
          </rPr>
          <t>Percentual da produtividade máxima da cultura agrícola j de propriedade de terceiros que decorreu da polinização gerada na área da empresa.</t>
        </r>
      </text>
    </comment>
  </commentList>
</comments>
</file>

<file path=xl/sharedStrings.xml><?xml version="1.0" encoding="utf-8"?>
<sst xmlns="http://schemas.openxmlformats.org/spreadsheetml/2006/main" count="3280" uniqueCount="1598">
  <si>
    <t>Dependência</t>
  </si>
  <si>
    <t>Impacto</t>
  </si>
  <si>
    <t>Externalidade</t>
  </si>
  <si>
    <t>Externalidades</t>
  </si>
  <si>
    <t>Empresa</t>
  </si>
  <si>
    <t>Objeto</t>
  </si>
  <si>
    <t>Abordagem</t>
  </si>
  <si>
    <t>Etapas da Cadeia de Valor</t>
  </si>
  <si>
    <t>Área(s) Geográfica(s)</t>
  </si>
  <si>
    <t>Horizonte Temporal</t>
  </si>
  <si>
    <t>Periodicidade</t>
  </si>
  <si>
    <t>Serviços Ecossistêmicos de interesse</t>
  </si>
  <si>
    <t>Selecione</t>
  </si>
  <si>
    <t>R$</t>
  </si>
  <si>
    <t>litro</t>
  </si>
  <si>
    <t>kg</t>
  </si>
  <si>
    <t>ton</t>
  </si>
  <si>
    <t>unidade de produto</t>
  </si>
  <si>
    <t>outro</t>
  </si>
  <si>
    <r>
      <t>m</t>
    </r>
    <r>
      <rPr>
        <vertAlign val="superscript"/>
        <sz val="11"/>
        <color theme="1"/>
        <rFont val="Calibri"/>
        <family val="2"/>
        <scheme val="minor"/>
      </rPr>
      <t>3</t>
    </r>
  </si>
  <si>
    <r>
      <t>m</t>
    </r>
    <r>
      <rPr>
        <vertAlign val="superscript"/>
        <sz val="11"/>
        <color theme="1"/>
        <rFont val="Calibri"/>
        <family val="2"/>
        <scheme val="minor"/>
      </rPr>
      <t>3</t>
    </r>
    <r>
      <rPr>
        <sz val="11"/>
        <color theme="1"/>
        <rFont val="Calibri"/>
        <family val="2"/>
        <scheme val="minor"/>
      </rPr>
      <t>/litro</t>
    </r>
  </si>
  <si>
    <t>m3/kg</t>
  </si>
  <si>
    <r>
      <t>m</t>
    </r>
    <r>
      <rPr>
        <vertAlign val="superscript"/>
        <sz val="11"/>
        <color theme="1"/>
        <rFont val="Calibri"/>
        <family val="2"/>
        <scheme val="minor"/>
      </rPr>
      <t>3</t>
    </r>
    <r>
      <rPr>
        <sz val="11"/>
        <color theme="1"/>
        <rFont val="Calibri"/>
        <family val="2"/>
        <scheme val="minor"/>
      </rPr>
      <t>/ton</t>
    </r>
  </si>
  <si>
    <r>
      <t>m</t>
    </r>
    <r>
      <rPr>
        <vertAlign val="superscript"/>
        <sz val="11"/>
        <color theme="1"/>
        <rFont val="Calibri"/>
        <family val="2"/>
        <scheme val="minor"/>
      </rPr>
      <t>3</t>
    </r>
    <r>
      <rPr>
        <sz val="11"/>
        <color theme="1"/>
        <rFont val="Calibri"/>
        <family val="2"/>
        <scheme val="minor"/>
      </rPr>
      <t>/R$</t>
    </r>
  </si>
  <si>
    <r>
      <t>m</t>
    </r>
    <r>
      <rPr>
        <vertAlign val="superscript"/>
        <sz val="11"/>
        <color theme="1"/>
        <rFont val="Calibri"/>
        <family val="2"/>
        <scheme val="minor"/>
      </rPr>
      <t>3</t>
    </r>
    <r>
      <rPr>
        <sz val="11"/>
        <color theme="1"/>
        <rFont val="Calibri"/>
        <family val="2"/>
        <scheme val="minor"/>
      </rPr>
      <t>/unidade de produto</t>
    </r>
  </si>
  <si>
    <r>
      <t>m</t>
    </r>
    <r>
      <rPr>
        <vertAlign val="superscript"/>
        <sz val="11"/>
        <color theme="1"/>
        <rFont val="Calibri"/>
        <family val="2"/>
        <scheme val="minor"/>
      </rPr>
      <t>3</t>
    </r>
    <r>
      <rPr>
        <sz val="11"/>
        <color theme="1"/>
        <rFont val="Calibri"/>
        <family val="2"/>
        <scheme val="minor"/>
      </rPr>
      <t>/outro</t>
    </r>
  </si>
  <si>
    <t>Dh</t>
  </si>
  <si>
    <t>Bh</t>
  </si>
  <si>
    <t>Temperatura</t>
  </si>
  <si>
    <t>Parâmetros</t>
  </si>
  <si>
    <t>Unidade</t>
  </si>
  <si>
    <t>DQla</t>
  </si>
  <si>
    <t>EQla</t>
  </si>
  <si>
    <t>IQla</t>
  </si>
  <si>
    <t>Classe 1</t>
  </si>
  <si>
    <t>Classe 2</t>
  </si>
  <si>
    <t>Classe 3</t>
  </si>
  <si>
    <t>Classe 4</t>
  </si>
  <si>
    <t>Classificação das águas doces</t>
  </si>
  <si>
    <t>Coliformes termotolerantes</t>
  </si>
  <si>
    <t>Turbidez</t>
  </si>
  <si>
    <t>pH</t>
  </si>
  <si>
    <t>6,0 a 9,0</t>
  </si>
  <si>
    <t>OD</t>
  </si>
  <si>
    <t>10 μg/L</t>
  </si>
  <si>
    <t xml:space="preserve">Densidade de cianobactérias </t>
  </si>
  <si>
    <t xml:space="preserve">Sólidos dissolvidos totais </t>
  </si>
  <si>
    <t>500 mg/L</t>
  </si>
  <si>
    <t>Condições de qualidade da água</t>
  </si>
  <si>
    <t>0,025 mg/L P</t>
  </si>
  <si>
    <t xml:space="preserve">Alumínio dissolvido </t>
  </si>
  <si>
    <t>0,1 mg/L Al</t>
  </si>
  <si>
    <t xml:space="preserve">Antimônio </t>
  </si>
  <si>
    <t>0,005mg/L Sb</t>
  </si>
  <si>
    <t xml:space="preserve">Arsênio total </t>
  </si>
  <si>
    <t>0,01 mg/L As</t>
  </si>
  <si>
    <t xml:space="preserve">Bário total </t>
  </si>
  <si>
    <t>0,7 mg/L Ba</t>
  </si>
  <si>
    <t xml:space="preserve">Berílio total </t>
  </si>
  <si>
    <t>0,04 mg/L Be</t>
  </si>
  <si>
    <t xml:space="preserve">Boro total </t>
  </si>
  <si>
    <t>0,5 mg/L B</t>
  </si>
  <si>
    <t xml:space="preserve">Cádmio total </t>
  </si>
  <si>
    <t>0,001 mg/L Cd</t>
  </si>
  <si>
    <t xml:space="preserve">Chumbo total </t>
  </si>
  <si>
    <t>0,01mg/L Pb</t>
  </si>
  <si>
    <t xml:space="preserve">Cianeto livre </t>
  </si>
  <si>
    <t>0,005 mg/L CN</t>
  </si>
  <si>
    <t xml:space="preserve">Cloreto total </t>
  </si>
  <si>
    <t>250 mg/L Cl</t>
  </si>
  <si>
    <t>Cloro residual total (combinado + livre)</t>
  </si>
  <si>
    <t>Cobalto total</t>
  </si>
  <si>
    <t xml:space="preserve">Cobre dissolvido </t>
  </si>
  <si>
    <t>0,009 mg/L Cu</t>
  </si>
  <si>
    <t xml:space="preserve">Cromo total </t>
  </si>
  <si>
    <t>0,05 mg/L Cr</t>
  </si>
  <si>
    <t xml:space="preserve">Ferro dissolvido </t>
  </si>
  <si>
    <t>0,3 mg/L Fe</t>
  </si>
  <si>
    <t xml:space="preserve">Fluoreto total </t>
  </si>
  <si>
    <t>1,4 mg/L F</t>
  </si>
  <si>
    <t xml:space="preserve">Fósforo total (ambiente lêntico) </t>
  </si>
  <si>
    <t>0,020 mg/L P</t>
  </si>
  <si>
    <t>Fósforo total (ambiente intermediário, com tempo de residência entre 2 e 40 dias, e tributários diretos de ambiente lêntico)</t>
  </si>
  <si>
    <t>0,1 mg/L P</t>
  </si>
  <si>
    <t>Nitrogênio amoniacal total</t>
  </si>
  <si>
    <t>3,7mg/L N, para pH ≤ 7,5</t>
  </si>
  <si>
    <t>2,0 mg/L N, para 7,5 &lt; pH ≤ 8,0</t>
  </si>
  <si>
    <t>1,0 mg/L N, para 8,0 &lt; pH ≤ 8,5</t>
  </si>
  <si>
    <t>0,5 mg/L N, para pH &gt; 8,5</t>
  </si>
  <si>
    <t>Fósforo total (ambiente lótico e tributários de ambientes intermediários)</t>
  </si>
  <si>
    <t xml:space="preserve">Lítio total </t>
  </si>
  <si>
    <t>2,5 mg/L Li</t>
  </si>
  <si>
    <t xml:space="preserve">Manganês total </t>
  </si>
  <si>
    <t>0,1 mg/L Mn</t>
  </si>
  <si>
    <t xml:space="preserve">Mercúrio total </t>
  </si>
  <si>
    <t>0,0002 mg/L Hg</t>
  </si>
  <si>
    <t>Níquel total</t>
  </si>
  <si>
    <t>0,025 mg/L Ni</t>
  </si>
  <si>
    <t xml:space="preserve">Nitrato </t>
  </si>
  <si>
    <t>10,0 mg/L N</t>
  </si>
  <si>
    <t xml:space="preserve">Nitrito </t>
  </si>
  <si>
    <t>1,0 mg/L N</t>
  </si>
  <si>
    <t xml:space="preserve">Prata total </t>
  </si>
  <si>
    <t>0,01 mg/L Ag</t>
  </si>
  <si>
    <t xml:space="preserve">Selênio total </t>
  </si>
  <si>
    <t>0,01 mg/L Se</t>
  </si>
  <si>
    <t xml:space="preserve">Sulfato total </t>
  </si>
  <si>
    <t>250 mg/L SO4</t>
  </si>
  <si>
    <t>Sulfeto (H2S não dissociado)</t>
  </si>
  <si>
    <t xml:space="preserve"> 0,002 mg/L S</t>
  </si>
  <si>
    <t xml:space="preserve">Urânio total </t>
  </si>
  <si>
    <t>0,02 mg/L U</t>
  </si>
  <si>
    <t xml:space="preserve">Vanádio total </t>
  </si>
  <si>
    <t>0,1 mg/L V</t>
  </si>
  <si>
    <t xml:space="preserve">Zinco total </t>
  </si>
  <si>
    <t>0,18 mg/L Zn</t>
  </si>
  <si>
    <t>Parâmetros inorgânicos</t>
  </si>
  <si>
    <t>Parâmetros orgânicos</t>
  </si>
  <si>
    <t xml:space="preserve">Acrilamida </t>
  </si>
  <si>
    <t>0,5 μg/L</t>
  </si>
  <si>
    <t xml:space="preserve">Alacloro </t>
  </si>
  <si>
    <t>20 μg/L</t>
  </si>
  <si>
    <t xml:space="preserve">Aldrin + Dieldrin </t>
  </si>
  <si>
    <t>0,005 μg/L</t>
  </si>
  <si>
    <t>Atrazina</t>
  </si>
  <si>
    <t xml:space="preserve"> 2 μg/L</t>
  </si>
  <si>
    <t xml:space="preserve">Benzeno </t>
  </si>
  <si>
    <t>0,005 mg/L</t>
  </si>
  <si>
    <t xml:space="preserve">Benzidina </t>
  </si>
  <si>
    <t>0,001 μg/L</t>
  </si>
  <si>
    <t xml:space="preserve">Benzo(a)antraceno </t>
  </si>
  <si>
    <t>0,05 μg/L</t>
  </si>
  <si>
    <t xml:space="preserve">Benzo(a)pireno </t>
  </si>
  <si>
    <t xml:space="preserve">Benzo(b)fluoranteno </t>
  </si>
  <si>
    <t xml:space="preserve">Benzo(k)fluoranteno </t>
  </si>
  <si>
    <t xml:space="preserve">Carbaril </t>
  </si>
  <si>
    <t>0,02 μg/L</t>
  </si>
  <si>
    <t xml:space="preserve">Clordano (cis + trans) </t>
  </si>
  <si>
    <t>0,04 μg/L</t>
  </si>
  <si>
    <t xml:space="preserve">2-Clorofenol </t>
  </si>
  <si>
    <t>0,1 μg/L</t>
  </si>
  <si>
    <t xml:space="preserve">Criseno </t>
  </si>
  <si>
    <t xml:space="preserve">2,4–D </t>
  </si>
  <si>
    <t>4,0 μg/L</t>
  </si>
  <si>
    <t xml:space="preserve">Demeton (Demeton-O + Demeton-S) </t>
  </si>
  <si>
    <t xml:space="preserve">Dibenzo(a,h)antraceno </t>
  </si>
  <si>
    <t xml:space="preserve">1,2-Dicloroetano </t>
  </si>
  <si>
    <t>0,01 mg/L</t>
  </si>
  <si>
    <t xml:space="preserve">1,1-Dicloroeteno </t>
  </si>
  <si>
    <t>0,003 mg/L</t>
  </si>
  <si>
    <t>Simazina 2,0 μg/L</t>
  </si>
  <si>
    <t xml:space="preserve">2,4-Diclorofenol </t>
  </si>
  <si>
    <t>0,3 μg/L</t>
  </si>
  <si>
    <t xml:space="preserve">Diclorometano </t>
  </si>
  <si>
    <t>0,02 mg/L</t>
  </si>
  <si>
    <t xml:space="preserve">DDT (p,p’-DDT + p,p’-DDE + p,p’-DDD) </t>
  </si>
  <si>
    <t>0,002 μg/L</t>
  </si>
  <si>
    <t>Dodecacloro pentaciclodecano</t>
  </si>
  <si>
    <t xml:space="preserve"> 0,001 μg/L</t>
  </si>
  <si>
    <t>0,056 μg/L</t>
  </si>
  <si>
    <t xml:space="preserve">Endrin </t>
  </si>
  <si>
    <t>0,004 μg/L</t>
  </si>
  <si>
    <t xml:space="preserve">Estireno </t>
  </si>
  <si>
    <t xml:space="preserve">Etilbenzeno </t>
  </si>
  <si>
    <t>90,0 μg/L</t>
  </si>
  <si>
    <t xml:space="preserve">Fenóis totais (substâncias que reagem com 4-aminoantipirina) </t>
  </si>
  <si>
    <t>0,003 mg/L C6H5OH</t>
  </si>
  <si>
    <t xml:space="preserve">Substâncias tensoativas que reagem com o azul de metileno </t>
  </si>
  <si>
    <t>0,5 mg/L LAS</t>
  </si>
  <si>
    <t xml:space="preserve">Glifosato </t>
  </si>
  <si>
    <t>65 μg/L</t>
  </si>
  <si>
    <t xml:space="preserve">Gution </t>
  </si>
  <si>
    <t xml:space="preserve">Heptacloro epóxido + Heptacloro </t>
  </si>
  <si>
    <t>0,01 μg/L</t>
  </si>
  <si>
    <t xml:space="preserve">Hexaclorobenzeno </t>
  </si>
  <si>
    <t>0,0065 μg/L</t>
  </si>
  <si>
    <t xml:space="preserve">Indeno(1,2,3-cd)pireno </t>
  </si>
  <si>
    <t xml:space="preserve">Malation </t>
  </si>
  <si>
    <t xml:space="preserve">Metolacloro </t>
  </si>
  <si>
    <t xml:space="preserve">Metoxicloro </t>
  </si>
  <si>
    <t>0,03 μg/L</t>
  </si>
  <si>
    <t>Paration</t>
  </si>
  <si>
    <t xml:space="preserve">PCBs - Bifenilas policloradas </t>
  </si>
  <si>
    <t xml:space="preserve">Pentaclorofenol </t>
  </si>
  <si>
    <t>0,009 mg/L</t>
  </si>
  <si>
    <t xml:space="preserve">2,4,5–T </t>
  </si>
  <si>
    <t>2,0 μg/L</t>
  </si>
  <si>
    <t xml:space="preserve">Tetracloreto de carbono </t>
  </si>
  <si>
    <t>0,002 mg/L</t>
  </si>
  <si>
    <t xml:space="preserve">Tetracloroeteno </t>
  </si>
  <si>
    <t xml:space="preserve">Tolueno </t>
  </si>
  <si>
    <t xml:space="preserve">Toxafeno </t>
  </si>
  <si>
    <t xml:space="preserve">2,4,5-TP </t>
  </si>
  <si>
    <t>10,0 μg/L</t>
  </si>
  <si>
    <t xml:space="preserve">Tributilestanho </t>
  </si>
  <si>
    <t>0,063 μg/L TBT</t>
  </si>
  <si>
    <t xml:space="preserve">Triclorobenzeno (1,2,3-TCB + 1,2,4-TCB) </t>
  </si>
  <si>
    <t xml:space="preserve">Tricloroeteno </t>
  </si>
  <si>
    <t>0,03 mg/L</t>
  </si>
  <si>
    <t xml:space="preserve">2,4,6-Triclorofenol </t>
  </si>
  <si>
    <t xml:space="preserve">Trifluralina </t>
  </si>
  <si>
    <t>0,2 μg/L</t>
  </si>
  <si>
    <t xml:space="preserve">Xileno </t>
  </si>
  <si>
    <t>300 μg/L</t>
  </si>
  <si>
    <t>PADRÕES PARA CORPOS DE ÁGUA ONDE HAJA PESCA OU CULTIVO DE ORGANISMOS PARA FINS DE CONSUMO INTENSIVO</t>
  </si>
  <si>
    <t xml:space="preserve">Lindano (□-HCH) </t>
  </si>
  <si>
    <t>0,14 μg/L As</t>
  </si>
  <si>
    <t>0,0002 μg/L</t>
  </si>
  <si>
    <t>0,018 μg/L</t>
  </si>
  <si>
    <t xml:space="preserve">3,3-Diclorobenzidina </t>
  </si>
  <si>
    <t>0,028 μg/L</t>
  </si>
  <si>
    <t>Heptacloro epóxido + Heptacloro</t>
  </si>
  <si>
    <t xml:space="preserve"> 0,000039 μg/L</t>
  </si>
  <si>
    <t>0,00029 μg/L</t>
  </si>
  <si>
    <t>0,000064 μg/L</t>
  </si>
  <si>
    <t>3,0 μg/L</t>
  </si>
  <si>
    <t>1,6 μg/L</t>
  </si>
  <si>
    <t>Tetracloroeteno</t>
  </si>
  <si>
    <t>3,3 μg/L</t>
  </si>
  <si>
    <t>0,00028 μg/L</t>
  </si>
  <si>
    <t xml:space="preserve">2,4,6-triclorofenol </t>
  </si>
  <si>
    <t>2,4 μg/L</t>
  </si>
  <si>
    <t>Não verificação de efeito tóxico crônico a organismos</t>
  </si>
  <si>
    <t>Materiais flutuantes, inclusive espumas não naturais</t>
  </si>
  <si>
    <t>Virtualmente ausentes</t>
  </si>
  <si>
    <t>Óleos e graxas</t>
  </si>
  <si>
    <t>Substâncias que comuniquem gosto ou odor</t>
  </si>
  <si>
    <t>Corantes provenientes de fontes antrópicas</t>
  </si>
  <si>
    <t>Resíduos sólidos objetáveis</t>
  </si>
  <si>
    <t>DBO 5 dias a 20°C</t>
  </si>
  <si>
    <t>Cor verdadeira</t>
  </si>
  <si>
    <t>nível de cor natural do corpo de água em mg Pt/L</t>
  </si>
  <si>
    <t>até 75 mg Pt/L</t>
  </si>
  <si>
    <t>até 100 UNT</t>
  </si>
  <si>
    <t>30 μg/L</t>
  </si>
  <si>
    <t>0,030 mg/L</t>
  </si>
  <si>
    <t>0,050 mg/L</t>
  </si>
  <si>
    <t>Apenas corantes removíveis por processo de coagulação, sedimentação e filtração convencionais</t>
  </si>
  <si>
    <t>0,01 mg/L Cl</t>
  </si>
  <si>
    <t>0,05 mg/L Co</t>
  </si>
  <si>
    <t>até 200 coliformes termotolerantes por 100 mililitros em 80% ou mais, de pelo menos 6 amostras, coletadas durante o período de um ano, com frequência bimestral</t>
  </si>
  <si>
    <t>até 4.000 coliformes termotolerantes por 100 mililitros em 80% ou mais de pelo menos 6 amostras coletadas durante o período de um ano, com periodicidade bimestral</t>
  </si>
  <si>
    <t>60 μg/L</t>
  </si>
  <si>
    <t>0,2 mg/L Al</t>
  </si>
  <si>
    <t>0,033 mg/L As</t>
  </si>
  <si>
    <t>1,0 mg/L Ba</t>
  </si>
  <si>
    <t>0,1 mg/L Be</t>
  </si>
  <si>
    <t>0,75 mg/L B</t>
  </si>
  <si>
    <t>0,01 mg/L Cd</t>
  </si>
  <si>
    <t>0,033 mg/L Pb</t>
  </si>
  <si>
    <t>0,022 mg/L CN</t>
  </si>
  <si>
    <t>0,2 mg/L Co</t>
  </si>
  <si>
    <t>0,013 mg/L Cu</t>
  </si>
  <si>
    <t>5,0 mg/L Fe</t>
  </si>
  <si>
    <t>0,05 mg/L P</t>
  </si>
  <si>
    <t>0,075 mg/L P</t>
  </si>
  <si>
    <t>0,15 mg/L P</t>
  </si>
  <si>
    <t>0,5 mg/L Mn</t>
  </si>
  <si>
    <t>0,002 mg/L Hg</t>
  </si>
  <si>
    <t>13,3 mg/L N, para pH ≤ 7,5</t>
  </si>
  <si>
    <t>5,6 mg/L N, para 7,5 &lt; pH ≤ 8,0</t>
  </si>
  <si>
    <t>2,2 mg/L N, para 8,0 &lt; pH ≤ 8,5</t>
  </si>
  <si>
    <t>1,0 mg/L N, para pH &gt; 8,5</t>
  </si>
  <si>
    <t>0,05 mg/L Ag</t>
  </si>
  <si>
    <t>0,05 mg/L Se</t>
  </si>
  <si>
    <t>0,3 mg/L S</t>
  </si>
  <si>
    <t>0,002 mg/L S</t>
  </si>
  <si>
    <t>5 mg/L Zn</t>
  </si>
  <si>
    <t>2 μg/L</t>
  </si>
  <si>
    <t>0,7 μg/L</t>
  </si>
  <si>
    <t>70,0 μg/L</t>
  </si>
  <si>
    <t>30,0 μg/L</t>
  </si>
  <si>
    <t>1,0 μg/L</t>
  </si>
  <si>
    <t>14,0 μg/L</t>
  </si>
  <si>
    <t>0,22 μg/L</t>
  </si>
  <si>
    <t>0,01 mg/L C6H5OH</t>
  </si>
  <si>
    <t>280 μg/L</t>
  </si>
  <si>
    <t>100,0 μg/L</t>
  </si>
  <si>
    <t>20,0 μg/L</t>
  </si>
  <si>
    <t>35,0 μg/L</t>
  </si>
  <si>
    <t>0,21 μg/L</t>
  </si>
  <si>
    <t>2,0 μg/L TBT</t>
  </si>
  <si>
    <t>Não objetáveis</t>
  </si>
  <si>
    <t>Toleram-se iridescências</t>
  </si>
  <si>
    <t>1,0 mg/L de C6H5OH</t>
  </si>
  <si>
    <t>Não verificação de efeito tóxico agudo a organismos</t>
  </si>
  <si>
    <t>Crômio</t>
  </si>
  <si>
    <t>Usos Preponderantes da Água</t>
  </si>
  <si>
    <t>Consumo humano</t>
  </si>
  <si>
    <t>Dessedentação animal</t>
  </si>
  <si>
    <t>Irrigação</t>
  </si>
  <si>
    <t>Recreação</t>
  </si>
  <si>
    <t>LQP Praticável - LQP</t>
  </si>
  <si>
    <t xml:space="preserve">Inorgânicos </t>
  </si>
  <si>
    <t>μg.L-1</t>
  </si>
  <si>
    <t>Alumínio</t>
  </si>
  <si>
    <t xml:space="preserve"> 200 (1)</t>
  </si>
  <si>
    <t>Antimônio</t>
  </si>
  <si>
    <t>Arsênio</t>
  </si>
  <si>
    <t xml:space="preserve">Bário </t>
  </si>
  <si>
    <t>Cádmio</t>
  </si>
  <si>
    <t>Cianeto</t>
  </si>
  <si>
    <t xml:space="preserve">Cloreto </t>
  </si>
  <si>
    <t>250.000 (1)</t>
  </si>
  <si>
    <t>100.000 -700.000</t>
  </si>
  <si>
    <t xml:space="preserve">Cobalto </t>
  </si>
  <si>
    <t>Nitrato (expresso em N)</t>
  </si>
  <si>
    <t>Nitrito (expresso em N)</t>
  </si>
  <si>
    <t>Sólidos Totais Dissolvidos (STD)</t>
  </si>
  <si>
    <t>100 (5)</t>
  </si>
  <si>
    <t xml:space="preserve">Orgânicos </t>
  </si>
  <si>
    <t>Berílio</t>
  </si>
  <si>
    <t>Boro</t>
  </si>
  <si>
    <t xml:space="preserve"> 500 (2)</t>
  </si>
  <si>
    <t xml:space="preserve"> 500 (4)</t>
  </si>
  <si>
    <t>Chumbo</t>
  </si>
  <si>
    <t>Cobre</t>
  </si>
  <si>
    <t>Ferro</t>
  </si>
  <si>
    <t>300 (1)</t>
  </si>
  <si>
    <t>Fluoreto</t>
  </si>
  <si>
    <t>Lítio</t>
  </si>
  <si>
    <t>Manganês</t>
  </si>
  <si>
    <t xml:space="preserve"> 100 (1)</t>
  </si>
  <si>
    <t>Mercúrio</t>
  </si>
  <si>
    <t>Molibdênio</t>
  </si>
  <si>
    <t>Níquel</t>
  </si>
  <si>
    <t>Prata</t>
  </si>
  <si>
    <t>Selênio</t>
  </si>
  <si>
    <t>Sódio</t>
  </si>
  <si>
    <t xml:space="preserve"> 200.000 (1)</t>
  </si>
  <si>
    <t>Sulfato</t>
  </si>
  <si>
    <t xml:space="preserve"> 250.000 (1)</t>
  </si>
  <si>
    <t>Urânio</t>
  </si>
  <si>
    <t xml:space="preserve"> 15 (2,3)</t>
  </si>
  <si>
    <t xml:space="preserve"> 10 (4)</t>
  </si>
  <si>
    <t>Vanádio</t>
  </si>
  <si>
    <t>Zinco</t>
  </si>
  <si>
    <t xml:space="preserve"> 5.000 (1)</t>
  </si>
  <si>
    <t>Acrilamida</t>
  </si>
  <si>
    <t>Benzeno</t>
  </si>
  <si>
    <t>Benzo antraceno</t>
  </si>
  <si>
    <t>Benzo(k)fluoranteno</t>
  </si>
  <si>
    <t>Clorofórmio</t>
  </si>
  <si>
    <t>Criseno</t>
  </si>
  <si>
    <t>1,2-Diclorobenzeno</t>
  </si>
  <si>
    <t>1,4-Diclorobenzeno</t>
  </si>
  <si>
    <t>1,2-Dicloroetano</t>
  </si>
  <si>
    <t>Benzo fluoranteno</t>
  </si>
  <si>
    <t>Benzo pireno</t>
  </si>
  <si>
    <t>Cloreto de vinila</t>
  </si>
  <si>
    <t xml:space="preserve"> 1.000 (1)</t>
  </si>
  <si>
    <t xml:space="preserve"> 300 (1)</t>
  </si>
  <si>
    <t>1,2-Dicloroeteno</t>
  </si>
  <si>
    <t>Xileno Total (o+m+p)</t>
  </si>
  <si>
    <t>(cis + trans)</t>
  </si>
  <si>
    <t xml:space="preserve">trans (156-60-5) </t>
  </si>
  <si>
    <t>5 para cada</t>
  </si>
  <si>
    <t>PCBs (somatória de 7) (9)</t>
  </si>
  <si>
    <t>Tetracloreto de carbono</t>
  </si>
  <si>
    <t>Triclorobenzenos (1,2,4-TCB + 1,3,5-TCB + 1,2,3)</t>
  </si>
  <si>
    <t>1,1-Dicloroeteno</t>
  </si>
  <si>
    <t>Dibenzo antraceno</t>
  </si>
  <si>
    <t>Diclorometano</t>
  </si>
  <si>
    <t>Estireno</t>
  </si>
  <si>
    <t>Etilbenzeno</t>
  </si>
  <si>
    <t>Fenóis (10)</t>
  </si>
  <si>
    <t>Indeno(1,2,3)pireno</t>
  </si>
  <si>
    <t xml:space="preserve"> 0,01 para cada</t>
  </si>
  <si>
    <t xml:space="preserve"> 5 para cada</t>
  </si>
  <si>
    <t>1,1,2Tricloroeteno</t>
  </si>
  <si>
    <t>Tolueno</t>
  </si>
  <si>
    <t xml:space="preserve"> 170 (*)</t>
  </si>
  <si>
    <t xml:space="preserve"> 300 (*)</t>
  </si>
  <si>
    <t>20 (3)</t>
  </si>
  <si>
    <t>1.000.000 (1)</t>
  </si>
  <si>
    <t>Agrotóxicos</t>
  </si>
  <si>
    <t>até 1.000 coliformes termotolerantes por 100 mililitros em 80% ou mais de pelo menos 6 amostras coletadas durante o período de um ano, com freqüência bimestral</t>
  </si>
  <si>
    <t>Aldrin + Dieldrin</t>
  </si>
  <si>
    <t>Aldicarb + ald.
sulfona + ald.
Sulfóxido</t>
  </si>
  <si>
    <t>0,005 para cada</t>
  </si>
  <si>
    <t>Clordano (cis + trans)</t>
  </si>
  <si>
    <t>Alaclor</t>
  </si>
  <si>
    <t xml:space="preserve"> 3 para cada</t>
  </si>
  <si>
    <t>Carbofuran</t>
  </si>
  <si>
    <t>Clorotalonil</t>
  </si>
  <si>
    <t>Clorpirifós</t>
  </si>
  <si>
    <t>2,4-D</t>
  </si>
  <si>
    <t>Bentazona</t>
  </si>
  <si>
    <t>0,01 para cada</t>
  </si>
  <si>
    <t>DDT (p,p’- DDT + p,p’-DDE + p,p’- DDD)</t>
  </si>
  <si>
    <t>Endosulfan ( I + II + sulfato)</t>
  </si>
  <si>
    <t>II (33213-65-9)
sulfato (1031-07-8)</t>
  </si>
  <si>
    <t>0,02 para cada</t>
  </si>
  <si>
    <t>Endrin</t>
  </si>
  <si>
    <t>Glifosato + Ampa</t>
  </si>
  <si>
    <t>0,13 (6)
0,06 (7)
0,04 (8)</t>
  </si>
  <si>
    <t>Heptacloro +
heptacloro epóxido</t>
  </si>
  <si>
    <t>Heptacloro epóxido
(1024-57-3)</t>
  </si>
  <si>
    <t>Hexaclorobenzeno</t>
  </si>
  <si>
    <t>Lindano (gama-BHC)</t>
  </si>
  <si>
    <t>Microorganismos</t>
  </si>
  <si>
    <t>Malation</t>
  </si>
  <si>
    <t>Metolacloro</t>
  </si>
  <si>
    <t>Metoxicloro</t>
  </si>
  <si>
    <t>Pendimetalina</t>
  </si>
  <si>
    <t>Pentaclorofenol</t>
  </si>
  <si>
    <t>Permetrina</t>
  </si>
  <si>
    <t>Propanil</t>
  </si>
  <si>
    <t>Simazina</t>
  </si>
  <si>
    <t>Trifuralina</t>
  </si>
  <si>
    <t>Molinato</t>
  </si>
  <si>
    <t>E. coli</t>
  </si>
  <si>
    <t>200/ 100mL</t>
  </si>
  <si>
    <t>Ausentes em 100mL</t>
  </si>
  <si>
    <t>800/100mL</t>
  </si>
  <si>
    <t>Enterococos</t>
  </si>
  <si>
    <t>100/100mL</t>
  </si>
  <si>
    <t>1000/100mL</t>
  </si>
  <si>
    <t>Padrões de lançamento de efluentes</t>
  </si>
  <si>
    <t xml:space="preserve"> Valores máximos</t>
  </si>
  <si>
    <t>Arsênio total</t>
  </si>
  <si>
    <t xml:space="preserve"> 0,5 mg/L As</t>
  </si>
  <si>
    <t>Bário total</t>
  </si>
  <si>
    <t xml:space="preserve"> 5,0 mg/L Ba</t>
  </si>
  <si>
    <t>Boro total (Não se aplica para o lançamento em águas salinas)</t>
  </si>
  <si>
    <t xml:space="preserve"> 5,0 mg/L B</t>
  </si>
  <si>
    <t>Cádmio total</t>
  </si>
  <si>
    <t xml:space="preserve"> 0,2 mg/L Cd</t>
  </si>
  <si>
    <t>Chumbo total</t>
  </si>
  <si>
    <t xml:space="preserve"> 0,5 mg/L Pb</t>
  </si>
  <si>
    <t>Cianeto total</t>
  </si>
  <si>
    <t xml:space="preserve"> 1,0 mg/L CN</t>
  </si>
  <si>
    <t>Cianeto livre (destilável por ácidos fracos)</t>
  </si>
  <si>
    <t xml:space="preserve"> 0,2 mg/L CN</t>
  </si>
  <si>
    <t>Cobre dissolvido</t>
  </si>
  <si>
    <t xml:space="preserve"> 1,0 mg/L Cu</t>
  </si>
  <si>
    <t>Cromo hexavalente</t>
  </si>
  <si>
    <t xml:space="preserve"> 0,1 mg/L Cr+6</t>
  </si>
  <si>
    <t>Cromo trivalente</t>
  </si>
  <si>
    <t xml:space="preserve"> 1,0 mg/L Cr+3</t>
  </si>
  <si>
    <t>Estanho total</t>
  </si>
  <si>
    <t xml:space="preserve"> 4,0 mg/L Sn</t>
  </si>
  <si>
    <t>Ferro dissolvido</t>
  </si>
  <si>
    <t xml:space="preserve"> 15,0 mg/L Fe</t>
  </si>
  <si>
    <t>Valores Máximos Permitidos (VMP) para cada um dos usos considerados como preponderantes e os limites de quantificação praticáveis (LQP)</t>
  </si>
  <si>
    <t>Fluoreto total</t>
  </si>
  <si>
    <t xml:space="preserve"> 10,0 mg/L F</t>
  </si>
  <si>
    <t>Manganês dissolvido</t>
  </si>
  <si>
    <t xml:space="preserve"> 1,0 mg/L Mn</t>
  </si>
  <si>
    <t>Mercúrio total</t>
  </si>
  <si>
    <t xml:space="preserve"> 0,01 mg/L Hg</t>
  </si>
  <si>
    <t xml:space="preserve"> 2,0 mg/L Ni</t>
  </si>
  <si>
    <t xml:space="preserve"> 20,0 mg/L N</t>
  </si>
  <si>
    <t>Prata total</t>
  </si>
  <si>
    <t xml:space="preserve"> 0,1 mg/L Ag</t>
  </si>
  <si>
    <t>Selênio total</t>
  </si>
  <si>
    <t xml:space="preserve"> 0,30 mg/L Se</t>
  </si>
  <si>
    <t>Sulfeto</t>
  </si>
  <si>
    <t xml:space="preserve"> 1,0 mg/L S</t>
  </si>
  <si>
    <t>Zinco total</t>
  </si>
  <si>
    <t xml:space="preserve"> 5,0 mg/L Zn</t>
  </si>
  <si>
    <t>Parâmetros Orgânicos</t>
  </si>
  <si>
    <t xml:space="preserve"> 1,2 mg/L</t>
  </si>
  <si>
    <t xml:space="preserve"> 1,0 mg/L</t>
  </si>
  <si>
    <t>Dicloroeteno (somatório de 1,1 + 1,2cis + 1,2 trans)</t>
  </si>
  <si>
    <t xml:space="preserve"> 0,07 mg/L</t>
  </si>
  <si>
    <t xml:space="preserve"> 0,84 mg/L</t>
  </si>
  <si>
    <t>fenóis totais (substâncias que reagem com 4-aminoantipirina)</t>
  </si>
  <si>
    <t xml:space="preserve"> 0,5 mg/L C6H5OH</t>
  </si>
  <si>
    <t>Tricloroeteno</t>
  </si>
  <si>
    <t>Xileno</t>
  </si>
  <si>
    <t xml:space="preserve"> 1,6 mg/L</t>
  </si>
  <si>
    <t>entre 5 a 9</t>
  </si>
  <si>
    <t>inferior a 40°C, sendo que a variação de temperatura do corpo receptor não deverá exceder a 3°C no limite da zona de mistura</t>
  </si>
  <si>
    <t>Materiais sedimentáveis</t>
  </si>
  <si>
    <t>até 1 mL/L em teste de 1 hora em cone Inmhoff. Para o lançamento em lagos e lagoas, cuja velocidade de circulação seja praticamente nula, os materiais sedimentáveis deverão estar virtualmente ausentes</t>
  </si>
  <si>
    <t>Vazão máxima</t>
  </si>
  <si>
    <t>Ausente</t>
  </si>
  <si>
    <t>Materiais flutuantes</t>
  </si>
  <si>
    <t>Demanda Bioquímica de Oxigênio (DBO 5 dias a 20°C)</t>
  </si>
  <si>
    <t>Remoção mínima de 60% de DBO sendo que este limite só poderá ser reduzido no caso de existência de estudo de autodepuração do corpo hídrico que comprove atendimento às metas do enquadramento do corpo receptor</t>
  </si>
  <si>
    <t>Condições de lançamento de efluentes</t>
  </si>
  <si>
    <t>Fonte: Resolução CONAMA 430/2011</t>
  </si>
  <si>
    <t>Fonte:  Resolução CONAMA 396/2008</t>
  </si>
  <si>
    <t>Fonte: Resolução Conama 357/ 2005</t>
  </si>
  <si>
    <t>Óleos e graxas:
1. óleos minerais
2. óleos vegetais e gorduras animais</t>
  </si>
  <si>
    <t>até 20 mg/L
até 50 mg/L</t>
  </si>
  <si>
    <t>Classificação e diretrizes ambientais para o enquadramento das águas subterrâneas</t>
  </si>
  <si>
    <t>Classificação e diretrizes ambientais para o enquadramento de recursos hídricos superficiais</t>
  </si>
  <si>
    <t>MENU DE NAVEGAÇÃO</t>
  </si>
  <si>
    <t>DADOS DA EMPRESA</t>
  </si>
  <si>
    <t>Setor</t>
  </si>
  <si>
    <t>ESCOPO DA ÁNALISE</t>
  </si>
  <si>
    <t>OBJETIVO</t>
  </si>
  <si>
    <t>PLANO DE TRABALHO</t>
  </si>
  <si>
    <t>DADOS DE ENTRADA</t>
  </si>
  <si>
    <t>PROVISÃO DE ÁGUA</t>
  </si>
  <si>
    <r>
      <t>m</t>
    </r>
    <r>
      <rPr>
        <vertAlign val="superscript"/>
        <sz val="11"/>
        <rFont val="Myriad Pro"/>
        <family val="2"/>
      </rPr>
      <t>3</t>
    </r>
  </si>
  <si>
    <t>QUANTIFICAÇÃO E VALORAÇÂO</t>
  </si>
  <si>
    <r>
      <t>ü</t>
    </r>
    <r>
      <rPr>
        <sz val="7"/>
        <color rgb="FF00A039"/>
        <rFont val="Times New Roman"/>
        <family val="1"/>
      </rPr>
      <t xml:space="preserve">  </t>
    </r>
    <r>
      <rPr>
        <sz val="11"/>
        <color theme="1"/>
        <rFont val="Myriad Pro"/>
        <family val="2"/>
      </rPr>
      <t>Provisão de água (quantidade)</t>
    </r>
  </si>
  <si>
    <r>
      <t>ü</t>
    </r>
    <r>
      <rPr>
        <sz val="7"/>
        <color rgb="FF00A039"/>
        <rFont val="Times New Roman"/>
        <family val="1"/>
      </rPr>
      <t xml:space="preserve">  </t>
    </r>
    <r>
      <rPr>
        <sz val="11"/>
        <color theme="1"/>
        <rFont val="Myriad Pro"/>
        <family val="2"/>
      </rPr>
      <t>Provisão de biomassa combustível</t>
    </r>
  </si>
  <si>
    <r>
      <t>ü</t>
    </r>
    <r>
      <rPr>
        <sz val="7"/>
        <color rgb="FF00A039"/>
        <rFont val="Times New Roman"/>
        <family val="1"/>
      </rPr>
      <t xml:space="preserve">  </t>
    </r>
    <r>
      <rPr>
        <sz val="11"/>
        <color theme="1"/>
        <rFont val="Myriad Pro"/>
        <family val="2"/>
      </rPr>
      <t>Regulação da qualidade da água</t>
    </r>
  </si>
  <si>
    <r>
      <t>ü</t>
    </r>
    <r>
      <rPr>
        <sz val="7"/>
        <color rgb="FF00A039"/>
        <rFont val="Times New Roman"/>
        <family val="1"/>
      </rPr>
      <t xml:space="preserve">  </t>
    </r>
    <r>
      <rPr>
        <sz val="11"/>
        <color theme="1"/>
        <rFont val="Myriad Pro"/>
        <family val="2"/>
      </rPr>
      <t>Regulação do clima global</t>
    </r>
  </si>
  <si>
    <t xml:space="preserve">DQa </t>
  </si>
  <si>
    <t>Valor</t>
  </si>
  <si>
    <r>
      <t>R$/m</t>
    </r>
    <r>
      <rPr>
        <vertAlign val="superscript"/>
        <sz val="11"/>
        <rFont val="Myriad Pro"/>
        <family val="2"/>
      </rPr>
      <t>3</t>
    </r>
  </si>
  <si>
    <t xml:space="preserve">Valor </t>
  </si>
  <si>
    <t>UNIDADES</t>
  </si>
  <si>
    <t>Parâmetro de qualidade de água em avaliação</t>
  </si>
  <si>
    <r>
      <t>Qla</t>
    </r>
    <r>
      <rPr>
        <vertAlign val="subscript"/>
        <sz val="11"/>
        <color theme="1"/>
        <rFont val="Myriad Pro"/>
        <family val="2"/>
      </rPr>
      <t>min</t>
    </r>
    <r>
      <rPr>
        <sz val="11"/>
        <color theme="1"/>
        <rFont val="Myriad Pro"/>
        <family val="2"/>
      </rPr>
      <t xml:space="preserve"> = qualidade mínima da água, em seu ponto de captação, na hipótese de níveis mínimos regulação ecossistêmica da qualidade da água</t>
    </r>
  </si>
  <si>
    <r>
      <t>Qla</t>
    </r>
    <r>
      <rPr>
        <vertAlign val="subscript"/>
        <sz val="11"/>
        <rFont val="Myriad Pro"/>
        <family val="2"/>
      </rPr>
      <t>ideal</t>
    </r>
    <r>
      <rPr>
        <sz val="11"/>
        <rFont val="Myriad Pro"/>
        <family val="2"/>
      </rPr>
      <t xml:space="preserve"> = qualidade ideal da água para as operações da empresa, em seu ponto de captação</t>
    </r>
  </si>
  <si>
    <r>
      <t>Qa</t>
    </r>
    <r>
      <rPr>
        <i/>
        <vertAlign val="subscript"/>
        <sz val="11"/>
        <color theme="1"/>
        <rFont val="Myriad Pro"/>
        <family val="2"/>
      </rPr>
      <t>cap</t>
    </r>
    <r>
      <rPr>
        <sz val="11"/>
        <color theme="1"/>
        <rFont val="Myriad Pro"/>
        <family val="2"/>
      </rPr>
      <t xml:space="preserve"> = quantidade de água captada</t>
    </r>
  </si>
  <si>
    <r>
      <t>$T</t>
    </r>
    <r>
      <rPr>
        <i/>
        <vertAlign val="subscript"/>
        <sz val="11"/>
        <color theme="1"/>
        <rFont val="Myriad Pro"/>
        <family val="2"/>
      </rPr>
      <t>a</t>
    </r>
    <r>
      <rPr>
        <sz val="11"/>
        <color theme="1"/>
        <rFont val="Myriad Pro"/>
        <family val="2"/>
      </rPr>
      <t xml:space="preserve"> = custo do tratamento da água do nível de qualidade </t>
    </r>
    <r>
      <rPr>
        <i/>
        <sz val="11"/>
        <color theme="1"/>
        <rFont val="Myriad Pro"/>
        <family val="2"/>
      </rPr>
      <t>Qla</t>
    </r>
    <r>
      <rPr>
        <i/>
        <vertAlign val="subscript"/>
        <sz val="11"/>
        <color theme="1"/>
        <rFont val="Myriad Pro"/>
        <family val="2"/>
      </rPr>
      <t>min</t>
    </r>
    <r>
      <rPr>
        <sz val="11"/>
        <color theme="1"/>
        <rFont val="Myriad Pro"/>
        <family val="2"/>
      </rPr>
      <t xml:space="preserve"> para o nível de qualidade </t>
    </r>
    <r>
      <rPr>
        <i/>
        <sz val="11"/>
        <color theme="1"/>
        <rFont val="Myriad Pro"/>
        <family val="2"/>
      </rPr>
      <t>Qla</t>
    </r>
    <r>
      <rPr>
        <i/>
        <vertAlign val="subscript"/>
        <sz val="11"/>
        <color theme="1"/>
        <rFont val="Myriad Pro"/>
        <family val="2"/>
      </rPr>
      <t>ideal</t>
    </r>
  </si>
  <si>
    <r>
      <t>I</t>
    </r>
    <r>
      <rPr>
        <i/>
        <vertAlign val="subscript"/>
        <sz val="11"/>
        <color theme="1"/>
        <rFont val="Myriad Pro"/>
        <family val="2"/>
      </rPr>
      <t>eta</t>
    </r>
    <r>
      <rPr>
        <sz val="11"/>
        <color theme="1"/>
        <rFont val="Myriad Pro"/>
        <family val="2"/>
      </rPr>
      <t xml:space="preserve"> = investimento necessário em estação de tratamento da água, em R$.</t>
    </r>
  </si>
  <si>
    <r>
      <t>Qla</t>
    </r>
    <r>
      <rPr>
        <i/>
        <vertAlign val="subscript"/>
        <sz val="11"/>
        <color theme="1"/>
        <rFont val="Myriad Pro"/>
        <family val="2"/>
      </rPr>
      <t>m</t>
    </r>
    <r>
      <rPr>
        <sz val="11"/>
        <color theme="1"/>
        <rFont val="Myriad Pro"/>
        <family val="2"/>
      </rPr>
      <t xml:space="preserve"> = qualidade da água à montante das atividades da empresa</t>
    </r>
  </si>
  <si>
    <r>
      <t>Qla</t>
    </r>
    <r>
      <rPr>
        <i/>
        <vertAlign val="subscript"/>
        <sz val="11"/>
        <color theme="1"/>
        <rFont val="Myriad Pro"/>
        <family val="2"/>
      </rPr>
      <t>j</t>
    </r>
    <r>
      <rPr>
        <sz val="11"/>
        <color theme="1"/>
        <rFont val="Myriad Pro"/>
        <family val="2"/>
      </rPr>
      <t xml:space="preserve"> = qualidade da água a jusante das atividades da empresa</t>
    </r>
  </si>
  <si>
    <r>
      <t>$GP</t>
    </r>
    <r>
      <rPr>
        <i/>
        <vertAlign val="subscript"/>
        <sz val="11"/>
        <color theme="1"/>
        <rFont val="Myriad Pro"/>
        <family val="2"/>
      </rPr>
      <t>pd</t>
    </r>
    <r>
      <rPr>
        <sz val="11"/>
        <color theme="1"/>
        <rFont val="Myriad Pro"/>
        <family val="2"/>
      </rPr>
      <t xml:space="preserve"> = gastos com ações necessárias para controlar ou eliminar as fontes de poluição difusa oriundas das atividades da empresa ou de áreas sob seu controle</t>
    </r>
  </si>
  <si>
    <t>REGULAÇÃO DA QUALIDADE DA ÁGUA</t>
  </si>
  <si>
    <r>
      <t>Qla</t>
    </r>
    <r>
      <rPr>
        <i/>
        <vertAlign val="subscript"/>
        <sz val="11"/>
        <color theme="1"/>
        <rFont val="Myriad Pro"/>
        <family val="2"/>
      </rPr>
      <t>cap</t>
    </r>
    <r>
      <rPr>
        <sz val="11"/>
        <color theme="1"/>
        <rFont val="Myriad Pro"/>
        <family val="2"/>
      </rPr>
      <t xml:space="preserve"> = qualidade de água captada pela empresa</t>
    </r>
  </si>
  <si>
    <t>m³</t>
  </si>
  <si>
    <r>
      <t>até 3 mg/L O</t>
    </r>
    <r>
      <rPr>
        <vertAlign val="subscript"/>
        <sz val="11"/>
        <color theme="1"/>
        <rFont val="Myriad Pro"/>
        <family val="2"/>
      </rPr>
      <t>2</t>
    </r>
  </si>
  <si>
    <r>
      <t>até 5 mg/L O</t>
    </r>
    <r>
      <rPr>
        <vertAlign val="subscript"/>
        <sz val="11"/>
        <color theme="1"/>
        <rFont val="Myriad Pro"/>
        <family val="2"/>
      </rPr>
      <t>2</t>
    </r>
  </si>
  <si>
    <r>
      <t>até 10 mg/L O</t>
    </r>
    <r>
      <rPr>
        <vertAlign val="subscript"/>
        <sz val="11"/>
        <color theme="1"/>
        <rFont val="Myriad Pro"/>
        <family val="2"/>
      </rPr>
      <t>2</t>
    </r>
  </si>
  <si>
    <r>
      <t>não inferior a 6 mg/L O</t>
    </r>
    <r>
      <rPr>
        <vertAlign val="subscript"/>
        <sz val="11"/>
        <color theme="1"/>
        <rFont val="Myriad Pro"/>
        <family val="2"/>
      </rPr>
      <t>2</t>
    </r>
  </si>
  <si>
    <r>
      <t>não inferior a 5 mg/L O</t>
    </r>
    <r>
      <rPr>
        <vertAlign val="subscript"/>
        <sz val="11"/>
        <color theme="1"/>
        <rFont val="Myriad Pro"/>
        <family val="2"/>
      </rPr>
      <t>2</t>
    </r>
  </si>
  <si>
    <r>
      <t>não inferior a 4 mg/L O</t>
    </r>
    <r>
      <rPr>
        <vertAlign val="subscript"/>
        <sz val="11"/>
        <color theme="1"/>
        <rFont val="Myriad Pro"/>
        <family val="2"/>
      </rPr>
      <t>2</t>
    </r>
  </si>
  <si>
    <r>
      <t>superior a 2,0 mg/L O</t>
    </r>
    <r>
      <rPr>
        <vertAlign val="subscript"/>
        <sz val="11"/>
        <color theme="1"/>
        <rFont val="Myriad Pro"/>
        <family val="2"/>
      </rPr>
      <t>2</t>
    </r>
  </si>
  <si>
    <r>
      <t xml:space="preserve">Clorofila </t>
    </r>
    <r>
      <rPr>
        <i/>
        <sz val="11"/>
        <color theme="1"/>
        <rFont val="Myriad Pro"/>
        <family val="2"/>
      </rPr>
      <t xml:space="preserve">a </t>
    </r>
  </si>
  <si>
    <r>
      <t>20.000 cel/mL ou 2 mm</t>
    </r>
    <r>
      <rPr>
        <vertAlign val="superscript"/>
        <sz val="11"/>
        <color theme="1"/>
        <rFont val="Myriad Pro"/>
        <family val="2"/>
      </rPr>
      <t>3</t>
    </r>
    <r>
      <rPr>
        <sz val="11"/>
        <color theme="1"/>
        <rFont val="Myriad Pro"/>
        <family val="2"/>
      </rPr>
      <t>/L</t>
    </r>
  </si>
  <si>
    <r>
      <t>50.000 cel/mL ou 5 mm</t>
    </r>
    <r>
      <rPr>
        <vertAlign val="superscript"/>
        <sz val="11"/>
        <color theme="1"/>
        <rFont val="Myriad Pro"/>
        <family val="2"/>
      </rPr>
      <t>3</t>
    </r>
    <r>
      <rPr>
        <sz val="11"/>
        <color theme="1"/>
        <rFont val="Myriad Pro"/>
        <family val="2"/>
      </rPr>
      <t>/L</t>
    </r>
  </si>
  <si>
    <r>
      <t>100.000 cel/mL ou 10 mm</t>
    </r>
    <r>
      <rPr>
        <vertAlign val="superscript"/>
        <sz val="11"/>
        <color theme="1"/>
        <rFont val="Myriad Pro"/>
        <family val="2"/>
      </rPr>
      <t>3</t>
    </r>
    <r>
      <rPr>
        <sz val="11"/>
        <color theme="1"/>
        <rFont val="Myriad Pro"/>
        <family val="2"/>
      </rPr>
      <t>/L
Para dessedentação animal: 50.000 cel/mL ou 5 mm3/L</t>
    </r>
  </si>
  <si>
    <r>
      <t>250 mg/L SO</t>
    </r>
    <r>
      <rPr>
        <vertAlign val="subscript"/>
        <sz val="11"/>
        <color theme="1"/>
        <rFont val="Myriad Pro"/>
        <family val="2"/>
      </rPr>
      <t>4</t>
    </r>
  </si>
  <si>
    <t xml:space="preserve">Endossulfan (□ + □ + sulfato) </t>
  </si>
  <si>
    <r>
      <t>$T</t>
    </r>
    <r>
      <rPr>
        <i/>
        <vertAlign val="subscript"/>
        <sz val="11"/>
        <color theme="1"/>
        <rFont val="Myriad Pro"/>
        <family val="2"/>
      </rPr>
      <t>a</t>
    </r>
    <r>
      <rPr>
        <sz val="11"/>
        <color theme="1"/>
        <rFont val="Myriad Pro"/>
        <family val="2"/>
      </rPr>
      <t xml:space="preserve"> = custo do tratamento da água do nível de qualidade</t>
    </r>
    <r>
      <rPr>
        <i/>
        <sz val="11"/>
        <color theme="1"/>
        <rFont val="Myriad Pro"/>
        <family val="2"/>
      </rPr>
      <t xml:space="preserve"> Qla</t>
    </r>
    <r>
      <rPr>
        <i/>
        <vertAlign val="subscript"/>
        <sz val="11"/>
        <color theme="1"/>
        <rFont val="Myriad Pro"/>
        <family val="2"/>
      </rPr>
      <t>cap</t>
    </r>
    <r>
      <rPr>
        <sz val="11"/>
        <color theme="1"/>
        <rFont val="Myriad Pro"/>
        <family val="2"/>
      </rPr>
      <t xml:space="preserve"> para o nível de qualidade </t>
    </r>
    <r>
      <rPr>
        <i/>
        <sz val="11"/>
        <color theme="1"/>
        <rFont val="Myriad Pro"/>
        <family val="2"/>
      </rPr>
      <t>Qla</t>
    </r>
    <r>
      <rPr>
        <i/>
        <vertAlign val="subscript"/>
        <sz val="11"/>
        <color theme="1"/>
        <rFont val="Myriad Pro"/>
        <family val="2"/>
      </rPr>
      <t>ideal</t>
    </r>
    <r>
      <rPr>
        <sz val="11"/>
        <color theme="1"/>
        <rFont val="Myriad Pro"/>
        <family val="2"/>
      </rPr>
      <t>,</t>
    </r>
  </si>
  <si>
    <t>Variáveis</t>
  </si>
  <si>
    <t>Valores</t>
  </si>
  <si>
    <t>Observação</t>
  </si>
  <si>
    <t>Poder Calorífico</t>
  </si>
  <si>
    <t>Etanol Hidratado</t>
  </si>
  <si>
    <t>GJ/t</t>
  </si>
  <si>
    <t>Etanol Anidro</t>
  </si>
  <si>
    <t>Litros</t>
  </si>
  <si>
    <t>R$/litro</t>
  </si>
  <si>
    <t>Bagaço de Cana</t>
  </si>
  <si>
    <t>Toneladas</t>
  </si>
  <si>
    <t>R$/ton.</t>
  </si>
  <si>
    <t>Alcatrão</t>
  </si>
  <si>
    <t>Biodiesel (B100)</t>
  </si>
  <si>
    <t>Caldo de Cana</t>
  </si>
  <si>
    <t>Carvão Vegetal</t>
  </si>
  <si>
    <t>Lenha para Carvoejamento</t>
  </si>
  <si>
    <t>Lenha para Queima Direta</t>
  </si>
  <si>
    <t>Licor Negro (Lixívia)</t>
  </si>
  <si>
    <t>Melaço</t>
  </si>
  <si>
    <t>Resíduos Municipais (fração biomassa)</t>
  </si>
  <si>
    <t>Resíduos Vegetais</t>
  </si>
  <si>
    <t>hectares</t>
  </si>
  <si>
    <t>Asfaltos</t>
  </si>
  <si>
    <t>Carvão Metalúrgico Importado</t>
  </si>
  <si>
    <t>R$/unidade</t>
  </si>
  <si>
    <t>Carvão Metalúrgico Nacional</t>
  </si>
  <si>
    <t>Carvão Vapor 3100 kcal / kg</t>
  </si>
  <si>
    <t>Carvão Vapor 3300 kcal / kg</t>
  </si>
  <si>
    <t>Carvão Vapor 3700 kcal / kg</t>
  </si>
  <si>
    <t>Carvão Vapor 4200 kcal / kg</t>
  </si>
  <si>
    <t>Carvão Vapor 4500 kcal / kg</t>
  </si>
  <si>
    <t>Carvão Vapor 4700 kcal / kg</t>
  </si>
  <si>
    <t>Carvão Vapor 5200 kcal / kg</t>
  </si>
  <si>
    <t>Carvão Vapor 5900 kcal / kg</t>
  </si>
  <si>
    <t>Carvão Vapor 6000 kcal / kg</t>
  </si>
  <si>
    <t>Carvão Vapor sem Especificação</t>
  </si>
  <si>
    <t>Coque de Carvão Mineral</t>
  </si>
  <si>
    <t>Coque de Petróleo</t>
  </si>
  <si>
    <t>Gás de Coqueria</t>
  </si>
  <si>
    <t>Gás de Refinaria</t>
  </si>
  <si>
    <t>Gás Liquefeito de Petróleo (GLP)</t>
  </si>
  <si>
    <t>Gás Natural Seco</t>
  </si>
  <si>
    <t>Gás Natural Úmido</t>
  </si>
  <si>
    <t>Gasolina Automotiva (pura)</t>
  </si>
  <si>
    <t>Gasolina de Aviação</t>
  </si>
  <si>
    <t>Líquidos de Gás Natural (LGN)</t>
  </si>
  <si>
    <t>Lubrificantes</t>
  </si>
  <si>
    <t>Nafta</t>
  </si>
  <si>
    <t>Óleo Combustível</t>
  </si>
  <si>
    <t>Óleo de Xisto</t>
  </si>
  <si>
    <t>Óleo Diesel (puro)</t>
  </si>
  <si>
    <t>Óleos Residuais</t>
  </si>
  <si>
    <t>Outros Produtos de Petróleo</t>
  </si>
  <si>
    <t>Parafina</t>
  </si>
  <si>
    <t>Petróleo Bruto</t>
  </si>
  <si>
    <t>Querosene de Aviação</t>
  </si>
  <si>
    <t>Querosene Iluminante</t>
  </si>
  <si>
    <t>Resíduos Municipais (fração não-biomassa)</t>
  </si>
  <si>
    <t>Solventes</t>
  </si>
  <si>
    <t>Turfa</t>
  </si>
  <si>
    <t>Xisto Betuminoso e Areias Betuminosas</t>
  </si>
  <si>
    <t>Plantio total:</t>
  </si>
  <si>
    <t>Adensamento:</t>
  </si>
  <si>
    <t>Enriquecimento:</t>
  </si>
  <si>
    <t>Isolamento:</t>
  </si>
  <si>
    <t>%</t>
  </si>
  <si>
    <t>Aspectos qualitativos</t>
  </si>
  <si>
    <t>Sim</t>
  </si>
  <si>
    <t>Estimativa da qualidade da implantação do projeto:</t>
  </si>
  <si>
    <t>Acompanhado por engenheiro florestal e/ou outro profissional qualificado:</t>
  </si>
  <si>
    <t>Análise de solo e eventual correção:</t>
  </si>
  <si>
    <t>Retirada do fator degradante (cercamento, aceiros, combate a exóticas, etc.):</t>
  </si>
  <si>
    <t>Combate a formigas:</t>
  </si>
  <si>
    <t>Diferenciação em campo da localização de espécies pioneiras e de diversidade:</t>
  </si>
  <si>
    <t>Manutenções periódicas:</t>
  </si>
  <si>
    <t>Previsões de adubações de base e cobertura:</t>
  </si>
  <si>
    <t>Proximidade a fragmentos de vegetação natural com banco de sementes:</t>
  </si>
  <si>
    <t>Outros:</t>
  </si>
  <si>
    <t>2. Emissões Evitadas por Desmatamento</t>
  </si>
  <si>
    <t>ao ano</t>
  </si>
  <si>
    <t>anos</t>
  </si>
  <si>
    <t>Possui algum tipo de certificação e/ou PDD aprovado (VCS e/ou FSC e/ou CCB)?</t>
  </si>
  <si>
    <t>Existem conflitos sobre a titularidade/posse da terra na região?</t>
  </si>
  <si>
    <t>Não</t>
  </si>
  <si>
    <t>A verificação da cobertura florestal e taxas de desmatamento é baseada numa 
combinação de imagens de senso remoto de satélite e apoiada por verificação no solo (visitas em loco)?</t>
  </si>
  <si>
    <t>Amazônia</t>
  </si>
  <si>
    <t>Floresta Ombrófila Aberta Aluvial</t>
  </si>
  <si>
    <t>Floresta Ombrófila Aberta Terras Baixas</t>
  </si>
  <si>
    <t>Floresta Ombrófila Aberta Submontana</t>
  </si>
  <si>
    <t>Floresta Estacional Decidual Terras Baixas</t>
  </si>
  <si>
    <t>Floresta Estacional Decidual Submontana</t>
  </si>
  <si>
    <t>Floresta Ombrófila Densa Aluvial</t>
  </si>
  <si>
    <t>Floresta Ombrófila Densa de Terras Baixas</t>
  </si>
  <si>
    <t>Floresta Ombrófila Densa Montana</t>
  </si>
  <si>
    <t>Floresta Ombrófila Densa Submontana</t>
  </si>
  <si>
    <t>Floresta Estacional Semidecidual aluvial</t>
  </si>
  <si>
    <t>Floresta Estacional Semidecidual de terras baixas</t>
  </si>
  <si>
    <t>Floresta Estacional Semidecidual montana</t>
  </si>
  <si>
    <t>Floresta Estacional Semidecidual Submontana</t>
  </si>
  <si>
    <t>Campinarana Arborizada</t>
  </si>
  <si>
    <t>Campinarana Arbustiva</t>
  </si>
  <si>
    <t>Campinarana gramíneo lenhosa</t>
  </si>
  <si>
    <t>Campinarana Florestada</t>
  </si>
  <si>
    <t>Vegetação com influência fluvial e/ou lacustre</t>
  </si>
  <si>
    <t>Pioneiras com influência fluviomarinha (mangue)</t>
  </si>
  <si>
    <t>Pioneiras com influência Marinha (restinga)</t>
  </si>
  <si>
    <t>Refúgio Montano</t>
  </si>
  <si>
    <t>Refúgio Submontano</t>
  </si>
  <si>
    <t>Savana Arborizada</t>
  </si>
  <si>
    <t>Savana Florestada</t>
  </si>
  <si>
    <t>Savana Gramíneo-Lenhosa</t>
  </si>
  <si>
    <t>Savana Parque</t>
  </si>
  <si>
    <t>Savana Estépica Arborizada</t>
  </si>
  <si>
    <t>Savana Estépica Florestada</t>
  </si>
  <si>
    <t>Savana Estépica Gramíneo Lenhosa</t>
  </si>
  <si>
    <t>Savana Estépica Parque</t>
  </si>
  <si>
    <t>Caatinga</t>
  </si>
  <si>
    <t>Floresta Ombrófila Aberta Montana</t>
  </si>
  <si>
    <t>Floresta Estacional Decidual Montana</t>
  </si>
  <si>
    <t>Refúgio Alto-Montano</t>
  </si>
  <si>
    <t>Cerrado</t>
  </si>
  <si>
    <t>Estepe Arborizada</t>
  </si>
  <si>
    <t>Floresta Ombrófila Mista Alto Montana</t>
  </si>
  <si>
    <t>Floresta Ombrófila Mista Montana</t>
  </si>
  <si>
    <t>Mata Atlântica</t>
  </si>
  <si>
    <t>Floresta Estacional Decidual Aluvial</t>
  </si>
  <si>
    <t>Floresta Ombrófila Densa Alto-Montana</t>
  </si>
  <si>
    <t>Estepe Gramíneo Lenhosa</t>
  </si>
  <si>
    <t>Floresta Ombrófila Mista Aluvial</t>
  </si>
  <si>
    <t>Floresta Ombrófila Mista submontana</t>
  </si>
  <si>
    <t>Pampa</t>
  </si>
  <si>
    <t>Pantanal</t>
  </si>
  <si>
    <t>Relatórios de Referência  - Emissões de Dióxido de Carbono no Setor de Uso da Terra, Mudança do Uso da Terra e Florestas</t>
  </si>
  <si>
    <t>Ministério de Ciência e Tecnologia - 2010</t>
  </si>
  <si>
    <t>Pastagem</t>
  </si>
  <si>
    <t>Foi adotado o valor default do Good Practice Guidance LULUCF 2003 (Tabela 3.4.9) igual a 8,05 tC/ha para o estoque médio de carbono em pastagem plantada estabelecida.</t>
  </si>
  <si>
    <t>Agricultura anual</t>
  </si>
  <si>
    <t>Agricultura perene</t>
  </si>
  <si>
    <t>Ponderação estoque final carbono dependendo qualidade do projeto</t>
  </si>
  <si>
    <t>Buffer</t>
  </si>
  <si>
    <t>Ruim</t>
  </si>
  <si>
    <t>Biomas</t>
  </si>
  <si>
    <t xml:space="preserve">Selecione o bioma </t>
  </si>
  <si>
    <t>Regular</t>
  </si>
  <si>
    <t>primeiro</t>
  </si>
  <si>
    <t>o bioma primeiro</t>
  </si>
  <si>
    <t>Bom</t>
  </si>
  <si>
    <t>Fonte: Elaborado por GV-CES</t>
  </si>
  <si>
    <t>Madeireiro</t>
  </si>
  <si>
    <t>Fator de Conversao peso atômico CO2</t>
  </si>
  <si>
    <t>Não madeireiro</t>
  </si>
  <si>
    <t>44/12</t>
  </si>
  <si>
    <t>Ambos</t>
  </si>
  <si>
    <t>Fator de redução no estoque de vegetação primária para secundária</t>
  </si>
  <si>
    <t>Admitindo-se que o estoque de carbono de vegetação secundária (AvFsec e AvGsec) pode variar entre 5% e 65% do valor do estoque de carbono da vegetação primária. Valores maiores serão contemplados em função da qualidade do projeto (questões qualitativas propostas na metodologia).</t>
  </si>
  <si>
    <t>Uso da terra ex-ante</t>
  </si>
  <si>
    <t>tC</t>
  </si>
  <si>
    <t>tCO2e</t>
  </si>
  <si>
    <t>tC/ha</t>
  </si>
  <si>
    <t>Estoque de tCO2e/ha</t>
  </si>
  <si>
    <t>Total estimado</t>
  </si>
  <si>
    <t>Pressupostos</t>
  </si>
  <si>
    <t>Item</t>
  </si>
  <si>
    <t>Area total (ha)</t>
  </si>
  <si>
    <t>Taxa de desmatamento linha de base (%/ano)</t>
  </si>
  <si>
    <t>Taxa de desmatamento com o projeto (%/ano)</t>
  </si>
  <si>
    <r>
      <t>Estoque médio de carbono na fito-fisionomia (tCO</t>
    </r>
    <r>
      <rPr>
        <vertAlign val="subscript"/>
        <sz val="10"/>
        <rFont val="Arial"/>
        <family val="2"/>
      </rPr>
      <t>2</t>
    </r>
    <r>
      <rPr>
        <sz val="10"/>
        <rFont val="Arial"/>
        <family val="2"/>
      </rPr>
      <t>e/ha)</t>
    </r>
  </si>
  <si>
    <r>
      <t>Estoque médio de carbono após conversão da área (tCO</t>
    </r>
    <r>
      <rPr>
        <vertAlign val="subscript"/>
        <sz val="10"/>
        <rFont val="Arial"/>
        <family val="2"/>
      </rPr>
      <t>2</t>
    </r>
    <r>
      <rPr>
        <sz val="10"/>
        <rFont val="Arial"/>
        <family val="2"/>
      </rPr>
      <t>e/ha)</t>
    </r>
  </si>
  <si>
    <t>Duração do projeto (anos)</t>
  </si>
  <si>
    <t>Provisão de não-performance do projeto (%)</t>
  </si>
  <si>
    <t>Volume Estimado de Reduções de GEEs por Desmatamento Evitado</t>
  </si>
  <si>
    <r>
      <t>Linha de Base:</t>
    </r>
    <r>
      <rPr>
        <b/>
        <sz val="10"/>
        <rFont val="Arial"/>
        <family val="2"/>
      </rPr>
      <t xml:space="preserve"> area florestal remanescente na ausencia do projeto (ha)</t>
    </r>
  </si>
  <si>
    <t>Area florestal remanescente com a implantação do projeto (ha)</t>
  </si>
  <si>
    <t>Area de desmatamento evitado - valor aumulado (ha)</t>
  </si>
  <si>
    <t>Area de desmatamento evitado - valor anual (ha)</t>
  </si>
  <si>
    <t>Emissões evitadas (tCO2e/ano)</t>
  </si>
  <si>
    <t>Não-performance</t>
  </si>
  <si>
    <t>Emissões evitadas líquidas (tCO2e/ano)</t>
  </si>
  <si>
    <t>Projeto</t>
  </si>
  <si>
    <t>Area total de desmatamento evitado (ha)</t>
  </si>
  <si>
    <r>
      <t>Volume de créditos gerados (tCO</t>
    </r>
    <r>
      <rPr>
        <vertAlign val="subscript"/>
        <sz val="10"/>
        <rFont val="Arial"/>
        <family val="2"/>
      </rPr>
      <t>2</t>
    </r>
    <r>
      <rPr>
        <sz val="10"/>
        <rFont val="Arial"/>
        <family val="2"/>
      </rPr>
      <t>e)</t>
    </r>
  </si>
  <si>
    <t>Gabarito</t>
  </si>
  <si>
    <t>Se = 3</t>
  </si>
  <si>
    <t>Se entre 1 e 3</t>
  </si>
  <si>
    <t>Se &lt;1</t>
  </si>
  <si>
    <t>A verificação da cobertura florestal e taxas de desmatamento baseada numa combinação de imagens de senso remoto de satélite e apoiada por verificação no solo (visitas em loco).</t>
  </si>
  <si>
    <t>Cultura agrícola</t>
  </si>
  <si>
    <t>Maracujá</t>
  </si>
  <si>
    <t>-</t>
  </si>
  <si>
    <t>Área (ha)</t>
  </si>
  <si>
    <t>Tipo de análise</t>
  </si>
  <si>
    <t>LLI</t>
  </si>
  <si>
    <t>Café</t>
  </si>
  <si>
    <t>Códigos uso de solo</t>
  </si>
  <si>
    <t>Campo</t>
  </si>
  <si>
    <t>Floresta Alter.</t>
  </si>
  <si>
    <t>Capoeira</t>
  </si>
  <si>
    <t>Várzea Lenhosa</t>
  </si>
  <si>
    <t>Várzea Herbacea</t>
  </si>
  <si>
    <t>Camp. Rup</t>
  </si>
  <si>
    <t>Pomar &amp; cia</t>
  </si>
  <si>
    <t>Cult. Perene</t>
  </si>
  <si>
    <t>Pastagem Plant.</t>
  </si>
  <si>
    <t>Baixa urbaniz.</t>
  </si>
  <si>
    <t>Solo exposto</t>
  </si>
  <si>
    <t>Água</t>
  </si>
  <si>
    <t>Nível 1</t>
  </si>
  <si>
    <t>Nível 2</t>
  </si>
  <si>
    <t>Nível 3</t>
  </si>
  <si>
    <t>Descrição</t>
  </si>
  <si>
    <t>Código</t>
  </si>
  <si>
    <t>Natural, seminatural</t>
  </si>
  <si>
    <t>Uso do solo</t>
  </si>
  <si>
    <t>Floresta Preserv.</t>
  </si>
  <si>
    <t>Floresta</t>
  </si>
  <si>
    <t>Floresta preservada</t>
  </si>
  <si>
    <t>Floresta alterada</t>
  </si>
  <si>
    <t>m = 1</t>
  </si>
  <si>
    <t>m = 2</t>
  </si>
  <si>
    <t>m = 3</t>
  </si>
  <si>
    <t>m = 4</t>
  </si>
  <si>
    <t>m = 5</t>
  </si>
  <si>
    <t>m = 6</t>
  </si>
  <si>
    <t>m = 7</t>
  </si>
  <si>
    <t>m = 8</t>
  </si>
  <si>
    <t>m = 9</t>
  </si>
  <si>
    <t>m = 10</t>
  </si>
  <si>
    <t>m = 11</t>
  </si>
  <si>
    <t>m = 12</t>
  </si>
  <si>
    <t>Tetragonisca angustula</t>
  </si>
  <si>
    <t>Melipona fasciata</t>
  </si>
  <si>
    <t>Capoeiras</t>
  </si>
  <si>
    <t>Apis mellifera</t>
  </si>
  <si>
    <t>Varzea</t>
  </si>
  <si>
    <t>lenhosa</t>
  </si>
  <si>
    <t>Várzea</t>
  </si>
  <si>
    <t>Vegetação ruderal</t>
  </si>
  <si>
    <t>Áreas de produção</t>
  </si>
  <si>
    <t>Pomares e semelhantes</t>
  </si>
  <si>
    <t>Culturas perenes</t>
  </si>
  <si>
    <t>Culturas anuais</t>
  </si>
  <si>
    <t>Grãos em geral legumes, etc.</t>
  </si>
  <si>
    <t>Cult. Anual</t>
  </si>
  <si>
    <t>Pastagens</t>
  </si>
  <si>
    <t>Pastagens plantadas</t>
  </si>
  <si>
    <t>Pastagens intensamente manejadas</t>
  </si>
  <si>
    <t>Áreas urbanizadas</t>
  </si>
  <si>
    <t>Baixa urbanização</t>
  </si>
  <si>
    <t>Menos de 50% da área coberta por construções, ruas, estacionamentos, etc.</t>
  </si>
  <si>
    <t>Alta urbanização</t>
  </si>
  <si>
    <t>Mais de 50% da área coberta por construções, ruas, estacionamentos, etc.</t>
  </si>
  <si>
    <t>Alta urbaniz.</t>
  </si>
  <si>
    <t>Áreas inadequadas</t>
  </si>
  <si>
    <t>Áreas sem vegetação</t>
  </si>
  <si>
    <t>Áreas sem vegetação e solo exposto, incluindo rochas expostas, dunas de areia, etc.</t>
  </si>
  <si>
    <t>Corpos d'água</t>
  </si>
  <si>
    <t>Rios e lagos</t>
  </si>
  <si>
    <t>Áreas cobertas permanentemente por água</t>
  </si>
  <si>
    <t>Importância da polinização feita por animais (zoofilia) para culturas agrícolas</t>
  </si>
  <si>
    <t>Cultura</t>
  </si>
  <si>
    <t>Colônias/ha*</t>
  </si>
  <si>
    <t>Abelhas/ha*</t>
  </si>
  <si>
    <t>Valor comercial</t>
  </si>
  <si>
    <t>Melão</t>
  </si>
  <si>
    <t>Melancia</t>
  </si>
  <si>
    <t>Citrullus lanatus</t>
  </si>
  <si>
    <t>Baseado em Greanleaf, 2007.</t>
  </si>
  <si>
    <t>Passiflora</t>
  </si>
  <si>
    <t>Maçã</t>
  </si>
  <si>
    <t>Malus</t>
  </si>
  <si>
    <t>Espécie</t>
  </si>
  <si>
    <t>Familia</t>
  </si>
  <si>
    <t>Fonte</t>
  </si>
  <si>
    <t>Soja</t>
  </si>
  <si>
    <t>Glycine</t>
  </si>
  <si>
    <t>3, 7</t>
  </si>
  <si>
    <t>Andrena barbilabris</t>
  </si>
  <si>
    <t>Andrenidae</t>
  </si>
  <si>
    <t>Coffea arabica</t>
  </si>
  <si>
    <t>Lonsdorf Landscape Index LLI</t>
  </si>
  <si>
    <t>Andrena cineraria</t>
  </si>
  <si>
    <t>Morango</t>
  </si>
  <si>
    <t>Fragaria</t>
  </si>
  <si>
    <t>Andrena clarkella</t>
  </si>
  <si>
    <t>Abacate</t>
  </si>
  <si>
    <t>Persea americana</t>
  </si>
  <si>
    <t>Abelhas</t>
  </si>
  <si>
    <t>Km</t>
  </si>
  <si>
    <t>Andrena flavipes</t>
  </si>
  <si>
    <t>Mirtilo</t>
  </si>
  <si>
    <t>Vaccinium</t>
  </si>
  <si>
    <t>Andrena vaga</t>
  </si>
  <si>
    <t>Amora</t>
  </si>
  <si>
    <t>Rubus</t>
  </si>
  <si>
    <t>Anthophora abrupta</t>
  </si>
  <si>
    <t>Apidae</t>
  </si>
  <si>
    <t>Repolho</t>
  </si>
  <si>
    <t>Brassica oleraceae capitata</t>
  </si>
  <si>
    <t>Anthophora fulvitarsis</t>
  </si>
  <si>
    <t>Canola</t>
  </si>
  <si>
    <t>Brassica</t>
  </si>
  <si>
    <t>Anthophora linsleyi</t>
  </si>
  <si>
    <t>Limão</t>
  </si>
  <si>
    <t>Citrus</t>
  </si>
  <si>
    <t>Apis cerana</t>
  </si>
  <si>
    <t>Laranja</t>
  </si>
  <si>
    <t>Apis dorsata</t>
  </si>
  <si>
    <t>Lima</t>
  </si>
  <si>
    <t>Apis florea</t>
  </si>
  <si>
    <t>Tangerina</t>
  </si>
  <si>
    <t>Toranja</t>
  </si>
  <si>
    <t>Bombus lapidarius</t>
  </si>
  <si>
    <t>Algodão</t>
  </si>
  <si>
    <t>Gopssypium</t>
  </si>
  <si>
    <t>Bombus lucorum</t>
  </si>
  <si>
    <t>Pepino</t>
  </si>
  <si>
    <t>Cucumis sativus</t>
  </si>
  <si>
    <t>Bombus muscorum</t>
  </si>
  <si>
    <t>Berinjela</t>
  </si>
  <si>
    <t>Solanum melangena</t>
  </si>
  <si>
    <t>Bombus pascuorum</t>
  </si>
  <si>
    <t>Kiwi</t>
  </si>
  <si>
    <t>Actinidia deliciosa</t>
  </si>
  <si>
    <t>Bombus pratorum</t>
  </si>
  <si>
    <t>Manga</t>
  </si>
  <si>
    <t>Mangifera indica</t>
  </si>
  <si>
    <t>Bombus terrestris</t>
  </si>
  <si>
    <t>Cabaça</t>
  </si>
  <si>
    <t>Lagenaria</t>
  </si>
  <si>
    <t>Cephalotrigona capitata</t>
  </si>
  <si>
    <t>Prunus persica</t>
  </si>
  <si>
    <t xml:space="preserve"> *</t>
  </si>
  <si>
    <t>Chelostoma florisomne</t>
  </si>
  <si>
    <t>Megachilidae</t>
  </si>
  <si>
    <t>Nectarina</t>
  </si>
  <si>
    <t>Chelostoma rapunculi</t>
  </si>
  <si>
    <t>Pera</t>
  </si>
  <si>
    <t>Pyrus</t>
  </si>
  <si>
    <t>Colletes cunicularius</t>
  </si>
  <si>
    <t>Colletidae</t>
  </si>
  <si>
    <t>Curcubita maxima</t>
  </si>
  <si>
    <t>Dasypoda altercator</t>
  </si>
  <si>
    <t>Melittidae</t>
  </si>
  <si>
    <t>Girassol</t>
  </si>
  <si>
    <t>Heliantus</t>
  </si>
  <si>
    <t>Eufriesea surinamensis</t>
  </si>
  <si>
    <t>Cereja</t>
  </si>
  <si>
    <t>Prunus</t>
  </si>
  <si>
    <t>Heterotrigona erythrogastra</t>
  </si>
  <si>
    <t>Fava</t>
  </si>
  <si>
    <t>Vicia faba</t>
  </si>
  <si>
    <t>Heterotrigona iridipennis</t>
  </si>
  <si>
    <t>Brassica oleraceae italica</t>
  </si>
  <si>
    <t>Hoplitis anthocopoides</t>
  </si>
  <si>
    <t>Couve Flor</t>
  </si>
  <si>
    <t>Brassica oleraceae</t>
  </si>
  <si>
    <t>Lasioglossum malachurum</t>
  </si>
  <si>
    <t>Halictidae</t>
  </si>
  <si>
    <t>Couve de Bruxelas</t>
  </si>
  <si>
    <t>Brassica oleraceae gemmifera</t>
  </si>
  <si>
    <t>Lasioglossum pauxillum</t>
  </si>
  <si>
    <t>Aspargos</t>
  </si>
  <si>
    <t>Asparagus officinalis</t>
  </si>
  <si>
    <t>Lasioglossum umbripenne</t>
  </si>
  <si>
    <t>Halicitidae</t>
  </si>
  <si>
    <t>Alcachofra</t>
  </si>
  <si>
    <t>Cynara</t>
  </si>
  <si>
    <t>Macrotera texana</t>
  </si>
  <si>
    <t>Cenoura</t>
  </si>
  <si>
    <t>Daucus</t>
  </si>
  <si>
    <t>Megachile flavipes</t>
  </si>
  <si>
    <t>Salsão</t>
  </si>
  <si>
    <t>Apium graveolens</t>
  </si>
  <si>
    <t>Megachile lapponica</t>
  </si>
  <si>
    <t>Rabanete</t>
  </si>
  <si>
    <t>Raphanus sativus</t>
  </si>
  <si>
    <t>Megachile nana</t>
  </si>
  <si>
    <t>Nabo</t>
  </si>
  <si>
    <t>Brassica rapa rapa</t>
  </si>
  <si>
    <t>Megachile parietina</t>
  </si>
  <si>
    <t>Linhaça</t>
  </si>
  <si>
    <t>Linum usitatissimum</t>
  </si>
  <si>
    <t>Megachile rotundata</t>
  </si>
  <si>
    <t>Alfafa</t>
  </si>
  <si>
    <t>Medicago sativa</t>
  </si>
  <si>
    <t xml:space="preserve">* </t>
  </si>
  <si>
    <t>log10 (d) = log10 a + b log10 (T), onde d = maximum homing distance (Greanleaf et al 2007)</t>
  </si>
  <si>
    <t>Megachile sicula</t>
  </si>
  <si>
    <t>Tremoço</t>
  </si>
  <si>
    <t>Luoinus angustifolius</t>
  </si>
  <si>
    <t>Damasco</t>
  </si>
  <si>
    <t>Prunus armeniaca</t>
  </si>
  <si>
    <t>CÁLCULOS</t>
  </si>
  <si>
    <t>Melipona flavipennis</t>
  </si>
  <si>
    <t>Groselha</t>
  </si>
  <si>
    <t>Ribis rubrum/grossularia</t>
  </si>
  <si>
    <t>Melipona panamica</t>
  </si>
  <si>
    <t>Cassis</t>
  </si>
  <si>
    <t>Ribis nigrum</t>
  </si>
  <si>
    <t>MÉTODO 1</t>
  </si>
  <si>
    <t>Nannotrigona perilampoides</t>
  </si>
  <si>
    <t>Uva</t>
  </si>
  <si>
    <t>Vitis</t>
  </si>
  <si>
    <t>Nomia melanderi</t>
  </si>
  <si>
    <t>Goiaba</t>
  </si>
  <si>
    <t>Psidium</t>
  </si>
  <si>
    <t>Osmia cornifrons</t>
  </si>
  <si>
    <t>Jaca</t>
  </si>
  <si>
    <t>Artocarpus heterophyllus</t>
  </si>
  <si>
    <t>Osmia lignaria propinqua</t>
  </si>
  <si>
    <t>Ameixa</t>
  </si>
  <si>
    <t>Osmia maritime</t>
  </si>
  <si>
    <t>Coentro</t>
  </si>
  <si>
    <t>Coriandrum sativum</t>
  </si>
  <si>
    <t>Osmia mustelina</t>
  </si>
  <si>
    <t>Camellia sinensis</t>
  </si>
  <si>
    <t>Osmia pedicornis</t>
  </si>
  <si>
    <t>Lavanda</t>
  </si>
  <si>
    <t>Lanandula</t>
  </si>
  <si>
    <t>Osmia rufa</t>
  </si>
  <si>
    <t>Coco</t>
  </si>
  <si>
    <t>Cocus nucifera</t>
  </si>
  <si>
    <t>Panurgus banksianus</t>
  </si>
  <si>
    <t>Noz macadamia</t>
  </si>
  <si>
    <t>Macadamia</t>
  </si>
  <si>
    <t>Partamona aff cupira</t>
  </si>
  <si>
    <t>Amendoim</t>
  </si>
  <si>
    <t>Arachis hypogaea</t>
  </si>
  <si>
    <t>Plebeia mosquito</t>
  </si>
  <si>
    <t>Scaptotrigona luteipennis</t>
  </si>
  <si>
    <t>Systropha planidens</t>
  </si>
  <si>
    <t>Tetraloniella dentata</t>
  </si>
  <si>
    <t>Freitas, B. M.; Nunes-Silva, P. 2012.</t>
  </si>
  <si>
    <t>Tetraloniella salicariae</t>
  </si>
  <si>
    <t>Polinização agrícola e sua importância no Brasil. Em  Polinizadores no Brasil: Contribuição e perspectivas para biodiversidade,</t>
  </si>
  <si>
    <t>MÉTODO 2</t>
  </si>
  <si>
    <t>Trigona amalthea</t>
  </si>
  <si>
    <t>uso sustentável, conservação e serviços ambientais</t>
  </si>
  <si>
    <t>Trigona corvina</t>
  </si>
  <si>
    <t>Imperatriz-Fonseca, V. L.; Saraiva, A. M.; Canhos, D. A. L.; Alves, D. A. (Organizadores). Editora da Universidade de S. Paulo. 477p .</t>
  </si>
  <si>
    <t>Trigona spinipes</t>
  </si>
  <si>
    <t xml:space="preserve">Klat, B. K.; Holzschuh, A.; Westphal, C.; Clough, Y.; Smit, I.; Palwelzik, E.; Tscharntke, T. 2013. </t>
  </si>
  <si>
    <t>Xylocopa rufa</t>
  </si>
  <si>
    <t>Bee pollination improves crop quality, shelf life and commercial value</t>
  </si>
  <si>
    <t>Xylocopa violacea</t>
  </si>
  <si>
    <t xml:space="preserve">Proceedengs of the Royal Society B 281: 20132440 </t>
  </si>
  <si>
    <t xml:space="preserve"> http://dx.doi.org/10.1098/rspb.2013.2440</t>
  </si>
  <si>
    <t>Xylocopa virginica</t>
  </si>
  <si>
    <t>Milfont. M. O.; Rocha, E. E. M.; Lima, A. O. N.; Freitas, B. M. 2013.</t>
  </si>
  <si>
    <t>Fonte: Greenleaf 2007</t>
  </si>
  <si>
    <t>Higher soybean production using honeybee and wild pollinators, a sustainable alternative to pesticides and autopollination</t>
  </si>
  <si>
    <t>Environmental Chemistry Letters 11 (4): 335-341</t>
  </si>
  <si>
    <t>Ricketts, T. H. 2004</t>
  </si>
  <si>
    <t>Tropical Forest Fragments Enhance Pollinator Activity in Nearby Coffee Crops</t>
  </si>
  <si>
    <t>Conservation Biology 18 (5): 1262-1271</t>
  </si>
  <si>
    <t>Bradbear, N. 2009</t>
  </si>
  <si>
    <t>Bees and their role in forest livelihoods: a guide to the services provided by bees and the sustainable harvesting,</t>
  </si>
  <si>
    <t>processing and marketing of their products.</t>
  </si>
  <si>
    <t>Canadian Association of Professional Apiculturists (CAPA). 1999.</t>
  </si>
  <si>
    <t>A Guide to: managing bees for crop pollination</t>
  </si>
  <si>
    <t>Manning, R.</t>
  </si>
  <si>
    <t>Acesso em 2014: http://archive.agric.wa.gov.au/PC_91801.html?s=467312065</t>
  </si>
  <si>
    <t>Honeybee pollination : technical data for potential honeybee-pollinated crops and orchards in Western Australia</t>
  </si>
  <si>
    <t>Department of Agriculture and Food. Government of Australia</t>
  </si>
  <si>
    <t>a</t>
  </si>
  <si>
    <t>b</t>
  </si>
  <si>
    <t>Campos rupestres e remanescentes em áreas antropizadas</t>
  </si>
  <si>
    <t>Adaptado de Kennedy et al 2013</t>
  </si>
  <si>
    <t>Localidade/ Região</t>
  </si>
  <si>
    <t>R</t>
  </si>
  <si>
    <t>Referência</t>
  </si>
  <si>
    <t>Manejo Convencional</t>
  </si>
  <si>
    <t>CP</t>
  </si>
  <si>
    <t>Classe do solo</t>
  </si>
  <si>
    <t>K</t>
  </si>
  <si>
    <t>Campinas (SP)</t>
  </si>
  <si>
    <t>Lombardi Neto; Moldenhauer (1992)</t>
  </si>
  <si>
    <t>Grãos</t>
  </si>
  <si>
    <t>Horizonte A</t>
  </si>
  <si>
    <t>São Carlos (SP)</t>
  </si>
  <si>
    <t>Pedro e Lorandi (2004)</t>
  </si>
  <si>
    <t>Alissolo Crômico Argilúvico abrúptico A moderado textura média/muito argilosa</t>
  </si>
  <si>
    <t>Teodoro Sampaio (SP)</t>
  </si>
  <si>
    <t>Colodro et al (2002)</t>
  </si>
  <si>
    <t>Mandioca</t>
  </si>
  <si>
    <t>Argissolo Amarelo Distrófico arênico A moderado textura arenosa/média</t>
  </si>
  <si>
    <t>Mococa (SP)</t>
  </si>
  <si>
    <t>Carvalho et al. (1989 apud Costa et al., 2005)</t>
  </si>
  <si>
    <t>Cana-de-açúcar</t>
  </si>
  <si>
    <t>Argissolo Vermelho Eutrófico típico A moderado textura média/argilosa</t>
  </si>
  <si>
    <t>Rio de Janeiro (RJ); altitude 40 m</t>
  </si>
  <si>
    <t>Gonçalves et al. (2006)</t>
  </si>
  <si>
    <t>Batata</t>
  </si>
  <si>
    <t>Argissolo Vermelho-Amarelo Distrófico típico A moderado textura média/argilosa</t>
  </si>
  <si>
    <t>Rio de Janeiro (RJ); altitude 460 m</t>
  </si>
  <si>
    <t>Argissolo Vermelho Eutrófico câmbico A moderado textura argilosa/muito argilosa</t>
  </si>
  <si>
    <t>Lavras (MG)</t>
  </si>
  <si>
    <t>Silva et al. (2009)</t>
  </si>
  <si>
    <t>Hortaliças</t>
  </si>
  <si>
    <t>Cambissolo Háplico Tb Distrófico típico</t>
  </si>
  <si>
    <t>Sete Lagoas (MG)</t>
  </si>
  <si>
    <t>Melo; Alvarenga; Curi (1998 apud Costa et al. 2005)</t>
  </si>
  <si>
    <t>Pastagem degradada</t>
  </si>
  <si>
    <t>Cambissolo Háplico Tb Distrófico latossólico</t>
  </si>
  <si>
    <t>Curitiba (PR)</t>
  </si>
  <si>
    <t>Waltrick (2010)</t>
  </si>
  <si>
    <t>Capoeira degradada</t>
  </si>
  <si>
    <t>Cambissolo Húmico Distrófico latossólico</t>
  </si>
  <si>
    <t>Pato Branco (PR)</t>
  </si>
  <si>
    <t>Cascalheira/ solo nú</t>
  </si>
  <si>
    <t>Cambissolo Háplico Tb Eutrófico típico A moderado textura média</t>
  </si>
  <si>
    <t>Lages (SC)</t>
  </si>
  <si>
    <t>Bertol (1993 apud Costa et al., 2005)</t>
  </si>
  <si>
    <t>Manejo Conservacionista</t>
  </si>
  <si>
    <t>Espodossolo Ferrocárbico Hidromórfico típico</t>
  </si>
  <si>
    <t>Petrolina (PE)/ Juazeiro(BA)</t>
  </si>
  <si>
    <t>Lopes &amp; Brito (1993 apud Costa et al., 2005)</t>
  </si>
  <si>
    <t>Grãos, rotação</t>
  </si>
  <si>
    <t>Gleissolo Háplico Ta Distrófico típico A moderado textura errática</t>
  </si>
  <si>
    <t>Fortaleza (CE)</t>
  </si>
  <si>
    <t>Silva e Dias (2003)</t>
  </si>
  <si>
    <t>Grãos, em nível</t>
  </si>
  <si>
    <t>Latossolo Vermelho Distroférrico típico A moderado textura muito argilosa</t>
  </si>
  <si>
    <t>Brasília (DF)</t>
  </si>
  <si>
    <t>Dedecek (1998 apud Costa et al., 2005)</t>
  </si>
  <si>
    <t>Grãos, rotação, em nível</t>
  </si>
  <si>
    <t>Latossolo Vermelho Ácrico típico A moderado textura muito argilosa</t>
  </si>
  <si>
    <t>Cáceres (MT)</t>
  </si>
  <si>
    <t>Morais et al. (1991 apud Costa et al., 2005)</t>
  </si>
  <si>
    <t>Grãos, faixas vegetadas</t>
  </si>
  <si>
    <t>Latossolo Vermelho Distrófico típico A moderado textura muito argilosa</t>
  </si>
  <si>
    <t>Cuiabá (MT)</t>
  </si>
  <si>
    <t>Salton; Comunello; Fietz (2013)</t>
  </si>
  <si>
    <t>Grãos, cordões vegetação</t>
  </si>
  <si>
    <t>Latossolo Amarelo Distrófico típico A proeminente textura média</t>
  </si>
  <si>
    <t>Goiânia (GO)</t>
  </si>
  <si>
    <t>Silva et al. (1997 apud Costa et al., 2005)</t>
  </si>
  <si>
    <t>Grãos, plantio direto</t>
  </si>
  <si>
    <t>Latossolo Vermelho Amarelo Distrófico A moderado textura argilosa</t>
  </si>
  <si>
    <t>Conceição do Araguaia (PA)</t>
  </si>
  <si>
    <t>Oliveira Junior (1996)</t>
  </si>
  <si>
    <t>Algodão/Mandioca, rotação</t>
  </si>
  <si>
    <t>Latossolo Vermelho Acriférrico típico</t>
  </si>
  <si>
    <t>Algodão/Mandioca, nível</t>
  </si>
  <si>
    <t>Luvissolo Crômico Pálico arênico A moderado textura arenosa/média</t>
  </si>
  <si>
    <t>Algodão/Mandioca, plantio direto</t>
  </si>
  <si>
    <t>Luvissolo Crômico Pálico planossólico A moderado textura arenosa/média</t>
  </si>
  <si>
    <t>Cana, em nível</t>
  </si>
  <si>
    <t>Neossolo Quartzarênico Órtico típico A fraco</t>
  </si>
  <si>
    <t>Cana, em faixas</t>
  </si>
  <si>
    <t>Nitossolo Háplico Distrófico típico A moderado textura média/argilosa</t>
  </si>
  <si>
    <t>Batata, em nível</t>
  </si>
  <si>
    <t>Nitossolo Vermelho Distrófico latossólico A moderado textura argilosa/muito argilosa</t>
  </si>
  <si>
    <t>Batata, em faixas</t>
  </si>
  <si>
    <t>Nitossolo Háplico Eutroférrico chernossólico</t>
  </si>
  <si>
    <t>Café, em nível</t>
  </si>
  <si>
    <t>Nitossolo Vermelho Eutroférrico típico A moderado textura muito argilosa</t>
  </si>
  <si>
    <t>Café, em faixas</t>
  </si>
  <si>
    <t>Planossolo Hidromórfico Eutrófico típico A proeminente textura média/argilosa</t>
  </si>
  <si>
    <t>Hortaliças, em nível</t>
  </si>
  <si>
    <t>Fonte: Mannigel et al. (2002)</t>
  </si>
  <si>
    <t>Pastagem recuperada</t>
  </si>
  <si>
    <t>Pastagem, rotação c/ grãos</t>
  </si>
  <si>
    <t>Fator erodibilidade K
(t.ha.h/ha.MJ.mm)</t>
  </si>
  <si>
    <t>Reflorestamento denso</t>
  </si>
  <si>
    <t>Reflorestamento ralo</t>
  </si>
  <si>
    <t>Argissolo amarelo</t>
  </si>
  <si>
    <t>Argissolo vermelho</t>
  </si>
  <si>
    <t>Argissolo vermelho-amarelo</t>
  </si>
  <si>
    <t>Cambissolo háplico</t>
  </si>
  <si>
    <t>Cambissolo húmico</t>
  </si>
  <si>
    <t>Gleissolo háplico</t>
  </si>
  <si>
    <t>Latossolo vermelho</t>
  </si>
  <si>
    <t>Latossolo amarelo</t>
  </si>
  <si>
    <t>Latossolo vermelho-amarelo</t>
  </si>
  <si>
    <t>Luvissolo crômico</t>
  </si>
  <si>
    <t>Neossolo quartzarênico</t>
  </si>
  <si>
    <t>Nitossolo háplico</t>
  </si>
  <si>
    <t>Floresta nativa conservada/Reflorestamento denso</t>
  </si>
  <si>
    <t>Floresta nativa degradada/Reflorestamento ralo</t>
  </si>
  <si>
    <t>Adaptado de Chaves et al 2010</t>
  </si>
  <si>
    <t>A adaptação diz respeito à inclusão dos tipos</t>
  </si>
  <si>
    <t>Floresta conservada e floresta degradada junto aos</t>
  </si>
  <si>
    <t>tipos de reflorestamento</t>
  </si>
  <si>
    <t>ha</t>
  </si>
  <si>
    <t>visitantes/período</t>
  </si>
  <si>
    <t>REGULAÇÃO DE POLINIZAÇÃO</t>
  </si>
  <si>
    <r>
      <t xml:space="preserve"> </t>
    </r>
    <r>
      <rPr>
        <i/>
        <sz val="11"/>
        <color theme="1"/>
        <rFont val="Myriad Pro"/>
        <family val="2"/>
      </rPr>
      <t>j = c</t>
    </r>
    <r>
      <rPr>
        <sz val="11"/>
        <color theme="1"/>
        <rFont val="Myriad Pro"/>
        <family val="2"/>
      </rPr>
      <t>ultura agrícola de interesse</t>
    </r>
  </si>
  <si>
    <t>Áreas dependentes de polinização (n)</t>
  </si>
  <si>
    <t>Culturas agrícolas (j)</t>
  </si>
  <si>
    <r>
      <rPr>
        <b/>
        <i/>
        <sz val="12"/>
        <rFont val="Myriad Pro"/>
        <family val="2"/>
      </rPr>
      <t>j</t>
    </r>
    <r>
      <rPr>
        <b/>
        <sz val="12"/>
        <rFont val="Myriad Pro"/>
        <family val="2"/>
      </rPr>
      <t xml:space="preserve"> \ </t>
    </r>
    <r>
      <rPr>
        <b/>
        <i/>
        <sz val="12"/>
        <rFont val="Myriad Pro"/>
        <family val="2"/>
      </rPr>
      <t>n</t>
    </r>
  </si>
  <si>
    <t>Tabela 1.2 -Totalização dos valores de impacto</t>
  </si>
  <si>
    <t>Unidades</t>
  </si>
  <si>
    <r>
      <t xml:space="preserve">Áreas </t>
    </r>
    <r>
      <rPr>
        <b/>
        <i/>
        <sz val="11"/>
        <color theme="1"/>
        <rFont val="Myriad Pro"/>
        <family val="2"/>
      </rPr>
      <t xml:space="preserve">m </t>
    </r>
    <r>
      <rPr>
        <b/>
        <sz val="11"/>
        <color theme="1"/>
        <rFont val="Myriad Pro"/>
        <family val="2"/>
      </rPr>
      <t>(provedoras de polinizadores)</t>
    </r>
  </si>
  <si>
    <t xml:space="preserve">Valor  </t>
  </si>
  <si>
    <t>Epca</t>
  </si>
  <si>
    <t>REGULAÇÃO DO CLIMA GLOBAL</t>
  </si>
  <si>
    <r>
      <t>R$/tCO</t>
    </r>
    <r>
      <rPr>
        <vertAlign val="subscript"/>
        <sz val="11"/>
        <rFont val="Myriad Pro"/>
        <family val="2"/>
      </rPr>
      <t>2</t>
    </r>
    <r>
      <rPr>
        <sz val="11"/>
        <rFont val="Myriad Pro"/>
        <family val="2"/>
      </rPr>
      <t>e</t>
    </r>
  </si>
  <si>
    <r>
      <t>tCO</t>
    </r>
    <r>
      <rPr>
        <b/>
        <vertAlign val="subscript"/>
        <sz val="10"/>
        <rFont val="Myriad Pro"/>
        <family val="2"/>
      </rPr>
      <t>2</t>
    </r>
    <r>
      <rPr>
        <b/>
        <sz val="10"/>
        <rFont val="Myriad Pro"/>
        <family val="2"/>
      </rPr>
      <t>e</t>
    </r>
  </si>
  <si>
    <r>
      <t>BCO</t>
    </r>
    <r>
      <rPr>
        <b/>
        <vertAlign val="subscript"/>
        <sz val="12"/>
        <rFont val="Myriad Pro"/>
        <family val="2"/>
      </rPr>
      <t>2</t>
    </r>
    <r>
      <rPr>
        <sz val="11"/>
        <rFont val="Myriad Pro"/>
        <family val="2"/>
      </rPr>
      <t>e</t>
    </r>
  </si>
  <si>
    <t>Selecione o bioma em que o projeto está localizado</t>
  </si>
  <si>
    <r>
      <t>tCO</t>
    </r>
    <r>
      <rPr>
        <vertAlign val="subscript"/>
        <sz val="11"/>
        <rFont val="Myriad Pro"/>
        <family val="2"/>
      </rPr>
      <t>2</t>
    </r>
    <r>
      <rPr>
        <sz val="11"/>
        <rFont val="Myriad Pro"/>
        <family val="2"/>
      </rPr>
      <t>e/ha</t>
    </r>
  </si>
  <si>
    <t>QUANTIFICAÇÃO E VALORAÇÃO</t>
  </si>
  <si>
    <t>Plano de Trabalho</t>
  </si>
  <si>
    <t xml:space="preserve"> ü</t>
  </si>
  <si>
    <r>
      <rPr>
        <b/>
        <i/>
        <sz val="11"/>
        <color theme="1"/>
        <rFont val="Myriad Pro"/>
        <family val="2"/>
      </rPr>
      <t>Qb</t>
    </r>
    <r>
      <rPr>
        <sz val="11"/>
        <color theme="1"/>
        <rFont val="Myriad Pro"/>
        <family val="2"/>
      </rPr>
      <t xml:space="preserve"> = quantidade de biomassa necessária para as atividades da empresa </t>
    </r>
  </si>
  <si>
    <t xml:space="preserve">DBc </t>
  </si>
  <si>
    <t xml:space="preserve">IBc </t>
  </si>
  <si>
    <r>
      <rPr>
        <b/>
        <i/>
        <sz val="11"/>
        <color theme="1"/>
        <rFont val="Myriad Pro"/>
        <family val="2"/>
      </rPr>
      <t>Pm</t>
    </r>
    <r>
      <rPr>
        <b/>
        <i/>
        <vertAlign val="subscript"/>
        <sz val="11"/>
        <color theme="1"/>
        <rFont val="Myriad Pro"/>
        <family val="2"/>
      </rPr>
      <t>alt</t>
    </r>
    <r>
      <rPr>
        <b/>
        <sz val="11"/>
        <color theme="1"/>
        <rFont val="Myriad Pro"/>
        <family val="2"/>
      </rPr>
      <t xml:space="preserve"> </t>
    </r>
    <r>
      <rPr>
        <sz val="11"/>
        <color theme="1"/>
        <rFont val="Myriad Pro"/>
        <family val="2"/>
      </rPr>
      <t>= preço de mercado da alternativa energética mais custo-eficaz</t>
    </r>
  </si>
  <si>
    <r>
      <rPr>
        <b/>
        <i/>
        <sz val="11"/>
        <color rgb="FF000000"/>
        <rFont val="Myriad Pro"/>
        <family val="2"/>
      </rPr>
      <t>Pmae</t>
    </r>
    <r>
      <rPr>
        <b/>
        <i/>
        <vertAlign val="subscript"/>
        <sz val="11"/>
        <color rgb="FF000000"/>
        <rFont val="Myriad Pro"/>
        <family val="2"/>
      </rPr>
      <t>r</t>
    </r>
    <r>
      <rPr>
        <sz val="11"/>
        <color rgb="FF000000"/>
        <rFont val="Myriad Pro"/>
        <family val="2"/>
      </rPr>
      <t xml:space="preserve"> = preço de mercado do produto ou serviço da atividade econômica removida pela expansão da produção de biomassa combustível</t>
    </r>
  </si>
  <si>
    <r>
      <rPr>
        <b/>
        <i/>
        <sz val="11"/>
        <color theme="1"/>
        <rFont val="Myriad Pro"/>
        <family val="2"/>
      </rPr>
      <t>CSC</t>
    </r>
    <r>
      <rPr>
        <sz val="11"/>
        <color theme="1"/>
        <rFont val="Myriad Pro"/>
        <family val="2"/>
      </rPr>
      <t xml:space="preserve"> = custo social do carbono</t>
    </r>
  </si>
  <si>
    <r>
      <rPr>
        <b/>
        <i/>
        <sz val="11"/>
        <color theme="1"/>
        <rFont val="Myriad Pro"/>
        <family val="2"/>
      </rPr>
      <t>Pm</t>
    </r>
    <r>
      <rPr>
        <b/>
        <i/>
        <vertAlign val="subscript"/>
        <sz val="11"/>
        <color theme="1"/>
        <rFont val="Myriad Pro"/>
        <family val="2"/>
      </rPr>
      <t>b</t>
    </r>
    <r>
      <rPr>
        <b/>
        <vertAlign val="subscript"/>
        <sz val="11"/>
        <color theme="1"/>
        <rFont val="Myriad Pro"/>
        <family val="2"/>
      </rPr>
      <t xml:space="preserve"> </t>
    </r>
    <r>
      <rPr>
        <sz val="11"/>
        <color theme="1"/>
        <rFont val="Myriad Pro"/>
        <family val="2"/>
      </rPr>
      <t>= preço de mercado da biomassa combustível utilizada atualmente</t>
    </r>
  </si>
  <si>
    <r>
      <rPr>
        <b/>
        <i/>
        <sz val="11"/>
        <color theme="1"/>
        <rFont val="Myriad Pro"/>
        <family val="2"/>
      </rPr>
      <t>Qe</t>
    </r>
    <r>
      <rPr>
        <b/>
        <i/>
        <vertAlign val="subscript"/>
        <sz val="11"/>
        <color theme="1"/>
        <rFont val="Myriad Pro"/>
        <family val="2"/>
      </rPr>
      <t>alt</t>
    </r>
    <r>
      <rPr>
        <b/>
        <sz val="11"/>
        <color theme="1"/>
        <rFont val="Myriad Pro"/>
        <family val="2"/>
      </rPr>
      <t xml:space="preserve"> </t>
    </r>
    <r>
      <rPr>
        <sz val="11"/>
        <color theme="1"/>
        <rFont val="Myriad Pro"/>
        <family val="2"/>
      </rPr>
      <t>= quantidade da alternativa energética mais custo-eficaz</t>
    </r>
  </si>
  <si>
    <t>ASSIMILAÇÃO DE EFLUENTES LÍQUIDOS</t>
  </si>
  <si>
    <r>
      <t>Qe</t>
    </r>
    <r>
      <rPr>
        <i/>
        <vertAlign val="subscript"/>
        <sz val="11"/>
        <color theme="1"/>
        <rFont val="Myriad Pro"/>
        <family val="2"/>
      </rPr>
      <t>lan</t>
    </r>
    <r>
      <rPr>
        <sz val="11"/>
        <color theme="1"/>
        <rFont val="Myriad Pro"/>
        <family val="2"/>
      </rPr>
      <t xml:space="preserve"> = quantidade de efluentes lançados</t>
    </r>
  </si>
  <si>
    <r>
      <t>$T</t>
    </r>
    <r>
      <rPr>
        <i/>
        <vertAlign val="subscript"/>
        <sz val="11"/>
        <color theme="1"/>
        <rFont val="Myriad Pro"/>
        <family val="2"/>
      </rPr>
      <t>e</t>
    </r>
    <r>
      <rPr>
        <sz val="11"/>
        <color theme="1"/>
        <rFont val="Myriad Pro"/>
        <family val="2"/>
      </rPr>
      <t xml:space="preserve"> = custo do tratamento de efluente do nível de qualidade</t>
    </r>
    <r>
      <rPr>
        <i/>
        <sz val="11"/>
        <color theme="1"/>
        <rFont val="Myriad Pro"/>
        <family val="2"/>
      </rPr>
      <t xml:space="preserve"> Pc</t>
    </r>
    <r>
      <rPr>
        <sz val="11"/>
        <color theme="1"/>
        <rFont val="Myriad Pro"/>
        <family val="2"/>
      </rPr>
      <t xml:space="preserve"> para o nível de qualidade </t>
    </r>
    <r>
      <rPr>
        <i/>
        <sz val="11"/>
        <color theme="1"/>
        <rFont val="Myriad Pro"/>
        <family val="2"/>
      </rPr>
      <t>Pc</t>
    </r>
    <r>
      <rPr>
        <i/>
        <vertAlign val="subscript"/>
        <sz val="11"/>
        <color theme="1"/>
        <rFont val="Myriad Pro"/>
        <family val="2"/>
      </rPr>
      <t>max</t>
    </r>
    <r>
      <rPr>
        <sz val="11"/>
        <color theme="1"/>
        <rFont val="Myriad Pro"/>
        <family val="2"/>
      </rPr>
      <t/>
    </r>
  </si>
  <si>
    <r>
      <t>I</t>
    </r>
    <r>
      <rPr>
        <i/>
        <vertAlign val="subscript"/>
        <sz val="11"/>
        <color theme="1"/>
        <rFont val="Myriad Pro"/>
        <family val="2"/>
      </rPr>
      <t>ete</t>
    </r>
    <r>
      <rPr>
        <sz val="11"/>
        <color theme="1"/>
        <rFont val="Myriad Pro"/>
        <family val="2"/>
      </rPr>
      <t xml:space="preserve"> = investimento que seria necessário para instalar e operar uma estação de tratamento de efluentes capaz de atingir os padrões de qualidade previstos em </t>
    </r>
    <r>
      <rPr>
        <i/>
        <sz val="11"/>
        <color theme="1"/>
        <rFont val="Myriad Pro"/>
        <family val="2"/>
      </rPr>
      <t>Pc</t>
    </r>
    <r>
      <rPr>
        <i/>
        <vertAlign val="subscript"/>
        <sz val="11"/>
        <color theme="1"/>
        <rFont val="Myriad Pro"/>
        <family val="2"/>
      </rPr>
      <t>max</t>
    </r>
    <r>
      <rPr>
        <sz val="11"/>
        <color theme="1"/>
        <rFont val="Myriad Pro"/>
        <family val="2"/>
      </rPr>
      <t xml:space="preserve"> </t>
    </r>
  </si>
  <si>
    <t>Ee</t>
  </si>
  <si>
    <t xml:space="preserve">Valor total </t>
  </si>
  <si>
    <t>Assimilação de efluentes líquidos</t>
  </si>
  <si>
    <t xml:space="preserve">Estão disponíveis duas abordagens de quantificação e valoração para o serviço ecossistêmico de regulação do clima global. Escolha o mais adequado e abra o grupo de células para preenchimento: </t>
  </si>
  <si>
    <t>Observações</t>
  </si>
  <si>
    <t>Selecione o uso do solo após o desmatamento</t>
  </si>
  <si>
    <t>Selecione a fitofisionomia predominante na área</t>
  </si>
  <si>
    <t>Tempo de duração do projeto (se abordagem inventário = 1)</t>
  </si>
  <si>
    <t>Provisão de não performance do projeto</t>
  </si>
  <si>
    <r>
      <t>tCO</t>
    </r>
    <r>
      <rPr>
        <b/>
        <vertAlign val="subscript"/>
        <sz val="12"/>
        <rFont val="Myriad Pro"/>
        <family val="2"/>
      </rPr>
      <t>2</t>
    </r>
    <r>
      <rPr>
        <b/>
        <sz val="12"/>
        <rFont val="Myriad Pro"/>
        <family val="2"/>
      </rPr>
      <t>e</t>
    </r>
  </si>
  <si>
    <t>RECREAÇÃO E TURISMO</t>
  </si>
  <si>
    <t>Regulação do clima global</t>
  </si>
  <si>
    <t>Regulação de polinização</t>
  </si>
  <si>
    <t xml:space="preserve">Cultura agrícula não listada anteriormente: </t>
  </si>
  <si>
    <t xml:space="preserve">Em caso de dúvidas sobre as alternativas de uso de solo listadas, clique aqui. </t>
  </si>
  <si>
    <t>Quando não tiver dados a inserir, deixe a célula em branco.</t>
  </si>
  <si>
    <t>Ti (mm)</t>
  </si>
  <si>
    <t xml:space="preserve">di (km) </t>
  </si>
  <si>
    <r>
      <t xml:space="preserve">É necessário inserir uma estimativa de </t>
    </r>
    <r>
      <rPr>
        <i/>
        <sz val="11"/>
        <rFont val="Myriad Pro"/>
        <family val="2"/>
      </rPr>
      <t>di</t>
    </r>
    <r>
      <rPr>
        <sz val="11"/>
        <rFont val="Myriad Pro"/>
        <family val="2"/>
      </rPr>
      <t xml:space="preserve"> ou, em sua ausência, a medida de </t>
    </r>
    <r>
      <rPr>
        <i/>
        <sz val="11"/>
        <rFont val="Myriad Pro"/>
        <family val="2"/>
      </rPr>
      <t>Ti</t>
    </r>
    <r>
      <rPr>
        <sz val="11"/>
        <rFont val="Myriad Pro"/>
        <family val="2"/>
      </rPr>
      <t xml:space="preserve"> (que deve ser feita a partir do diagnóstico de campo).</t>
    </r>
  </si>
  <si>
    <r>
      <t xml:space="preserve">Preencha a tabela abaixo conforme obtiver os valores para cada área </t>
    </r>
    <r>
      <rPr>
        <i/>
        <sz val="11"/>
        <rFont val="Myriad Pro"/>
        <family val="2"/>
      </rPr>
      <t>n</t>
    </r>
    <r>
      <rPr>
        <sz val="11"/>
        <rFont val="Myriad Pro"/>
        <family val="2"/>
      </rPr>
      <t xml:space="preserve"> de cada cultuta agrícola </t>
    </r>
    <r>
      <rPr>
        <i/>
        <sz val="11"/>
        <rFont val="Myriad Pro"/>
        <family val="2"/>
      </rPr>
      <t>j.</t>
    </r>
  </si>
  <si>
    <r>
      <t xml:space="preserve">Preencha a tabela abaixo conforme obtiver os valores para cada área </t>
    </r>
    <r>
      <rPr>
        <i/>
        <sz val="11"/>
        <rFont val="Myriad Pro"/>
        <family val="2"/>
      </rPr>
      <t>n</t>
    </r>
    <r>
      <rPr>
        <sz val="11"/>
        <rFont val="Myriad Pro"/>
        <family val="2"/>
      </rPr>
      <t xml:space="preserve"> de cada cultuta agrícola </t>
    </r>
    <r>
      <rPr>
        <i/>
        <sz val="11"/>
        <rFont val="Myriad Pro"/>
        <family val="2"/>
      </rPr>
      <t>j</t>
    </r>
  </si>
  <si>
    <r>
      <rPr>
        <b/>
        <i/>
        <sz val="11"/>
        <rFont val="Myriad Pro"/>
        <family val="2"/>
      </rPr>
      <t>j</t>
    </r>
    <r>
      <rPr>
        <b/>
        <sz val="11"/>
        <rFont val="Myriad Pro"/>
        <family val="2"/>
      </rPr>
      <t xml:space="preserve"> \ </t>
    </r>
    <r>
      <rPr>
        <b/>
        <i/>
        <sz val="11"/>
        <rFont val="Myriad Pro"/>
        <family val="2"/>
      </rPr>
      <t>n</t>
    </r>
  </si>
  <si>
    <r>
      <t xml:space="preserve">Preencha a tabela abaixo conforme obtiver os valores para cada área </t>
    </r>
    <r>
      <rPr>
        <i/>
        <sz val="11"/>
        <color theme="1"/>
        <rFont val="Myriad Pro"/>
        <family val="2"/>
      </rPr>
      <t>n</t>
    </r>
    <r>
      <rPr>
        <sz val="11"/>
        <color theme="1"/>
        <rFont val="Myriad Pro"/>
        <family val="2"/>
      </rPr>
      <t xml:space="preserve"> de cada cultuta agrícola </t>
    </r>
    <r>
      <rPr>
        <i/>
        <sz val="11"/>
        <color theme="1"/>
        <rFont val="Myriad Pro"/>
        <family val="2"/>
      </rPr>
      <t>j</t>
    </r>
  </si>
  <si>
    <r>
      <rPr>
        <b/>
        <i/>
        <sz val="11"/>
        <color theme="1"/>
        <rFont val="Myriad Pro"/>
        <family val="2"/>
      </rPr>
      <t>j</t>
    </r>
    <r>
      <rPr>
        <b/>
        <sz val="11"/>
        <color theme="1"/>
        <rFont val="Myriad Pro"/>
        <family val="2"/>
      </rPr>
      <t xml:space="preserve"> \ </t>
    </r>
    <r>
      <rPr>
        <b/>
        <i/>
        <sz val="11"/>
        <color theme="1"/>
        <rFont val="Myriad Pro"/>
        <family val="2"/>
      </rPr>
      <t>n</t>
    </r>
  </si>
  <si>
    <t/>
  </si>
  <si>
    <t>Tabela 2.4 - Totalização dos valores de dependência</t>
  </si>
  <si>
    <t>Tabela 2.5 - Totalização dos valores de impacto</t>
  </si>
  <si>
    <t>Tabela 2.6 - Totalização dos valores de externalidade</t>
  </si>
  <si>
    <r>
      <t>Os cálculos devem ser feitos para cada cultura agrícola (</t>
    </r>
    <r>
      <rPr>
        <i/>
        <sz val="11"/>
        <rFont val="Myriad Pro"/>
        <family val="2"/>
      </rPr>
      <t xml:space="preserve">j) </t>
    </r>
    <r>
      <rPr>
        <sz val="11"/>
        <rFont val="Myriad Pro"/>
        <family val="2"/>
      </rPr>
      <t xml:space="preserve">em separado. Após preencher as Tabelas 1.1 e 1.2 (abaixo) com os resultados de uma determinada cultura agrícola j, </t>
    </r>
    <r>
      <rPr>
        <u/>
        <sz val="11"/>
        <rFont val="Myriad Pro"/>
        <family val="2"/>
      </rPr>
      <t>apague todas as células cinzas</t>
    </r>
    <r>
      <rPr>
        <sz val="11"/>
        <rFont val="Myriad Pro"/>
        <family val="2"/>
      </rPr>
      <t xml:space="preserve"> do quadro DADOS DE ENTRADA e preencha novamente para a próxima cultura agrícola a ser analisada. </t>
    </r>
  </si>
  <si>
    <r>
      <t xml:space="preserve">Os cálculos devem ser feitos para cada cultura agrícola </t>
    </r>
    <r>
      <rPr>
        <i/>
        <sz val="11"/>
        <rFont val="Myriad Pro"/>
        <family val="2"/>
      </rPr>
      <t xml:space="preserve">j </t>
    </r>
    <r>
      <rPr>
        <sz val="11"/>
        <rFont val="Myriad Pro"/>
        <family val="2"/>
      </rPr>
      <t xml:space="preserve">por vez. Após preencher as Tabela 2.4, 2.5 e 2.6 (em QUANTIFICAÇÃO E VALORAÇÃO) com os resultados de uma determinada cultura agrícola, apague todas as células cinzas dos DADOS DE ENTRADAS e preencha com as informações da outra cultura agrícola. </t>
    </r>
  </si>
  <si>
    <t>Bioma em que o projeto está localizado</t>
  </si>
  <si>
    <t>Fitofisionomia predominante a ser restaurada</t>
  </si>
  <si>
    <t>% de implantação do projeto a ser quantificada (se projeto todo = 100%)</t>
  </si>
  <si>
    <r>
      <t>E</t>
    </r>
    <r>
      <rPr>
        <b/>
        <vertAlign val="subscript"/>
        <sz val="12"/>
        <rFont val="Myriad Pro"/>
        <family val="2"/>
      </rPr>
      <t>ev</t>
    </r>
  </si>
  <si>
    <t>m</t>
  </si>
  <si>
    <t>Valoração</t>
  </si>
  <si>
    <t>t / ha.ano</t>
  </si>
  <si>
    <r>
      <t>LS</t>
    </r>
    <r>
      <rPr>
        <i/>
        <vertAlign val="subscript"/>
        <sz val="11"/>
        <color theme="1"/>
        <rFont val="Myriad Pro"/>
        <family val="2"/>
      </rPr>
      <t>a</t>
    </r>
    <r>
      <rPr>
        <sz val="11"/>
        <color theme="1"/>
        <rFont val="Myriad Pro"/>
        <family val="2"/>
      </rPr>
      <t xml:space="preserve"> = fator de comprimento de rampa na área </t>
    </r>
    <r>
      <rPr>
        <i/>
        <sz val="11"/>
        <color theme="1"/>
        <rFont val="Myriad Pro"/>
        <family val="2"/>
      </rPr>
      <t>a</t>
    </r>
  </si>
  <si>
    <t>t/ha</t>
  </si>
  <si>
    <t xml:space="preserve">Nitrogênio (N) </t>
  </si>
  <si>
    <t xml:space="preserve">Fósforo (P) </t>
  </si>
  <si>
    <t xml:space="preserve">Potássio (K) </t>
  </si>
  <si>
    <t xml:space="preserve">Outro 1 (O1) </t>
  </si>
  <si>
    <t>Nitrogênio (N)</t>
  </si>
  <si>
    <t>Outro 2 (O2)</t>
  </si>
  <si>
    <t>Único</t>
  </si>
  <si>
    <t xml:space="preserve">1. Perda de nutrientes </t>
  </si>
  <si>
    <t>PNs</t>
  </si>
  <si>
    <t>R$/ha</t>
  </si>
  <si>
    <r>
      <t>PN</t>
    </r>
    <r>
      <rPr>
        <b/>
        <i/>
        <vertAlign val="subscript"/>
        <sz val="12"/>
        <rFont val="Myriad Pro"/>
        <family val="2"/>
      </rPr>
      <t>s</t>
    </r>
  </si>
  <si>
    <t xml:space="preserve">2. Turbidez no corpo d'água </t>
  </si>
  <si>
    <t>Tca</t>
  </si>
  <si>
    <t>em L/s</t>
  </si>
  <si>
    <r>
      <t>Dif</t>
    </r>
    <r>
      <rPr>
        <i/>
        <vertAlign val="subscript"/>
        <sz val="11"/>
        <rFont val="Myriad Pro"/>
        <family val="2"/>
      </rPr>
      <t>alt</t>
    </r>
    <r>
      <rPr>
        <i/>
        <sz val="11"/>
        <rFont val="Myriad Pro"/>
        <family val="2"/>
      </rPr>
      <t xml:space="preserve"> </t>
    </r>
    <r>
      <rPr>
        <sz val="11"/>
        <rFont val="Myriad Pro"/>
        <family val="2"/>
      </rPr>
      <t xml:space="preserve">= diferença entre a máxima e a mínima altitudes na área à montante, </t>
    </r>
  </si>
  <si>
    <r>
      <t>C</t>
    </r>
    <r>
      <rPr>
        <i/>
        <vertAlign val="subscript"/>
        <sz val="11"/>
        <rFont val="Myriad Pro"/>
        <family val="2"/>
      </rPr>
      <t>cap</t>
    </r>
    <r>
      <rPr>
        <i/>
        <sz val="11"/>
        <rFont val="Myriad Pro"/>
        <family val="2"/>
      </rPr>
      <t xml:space="preserve"> </t>
    </r>
    <r>
      <rPr>
        <sz val="11"/>
        <rFont val="Myriad Pro"/>
        <family val="2"/>
      </rPr>
      <t>= comprimento do principal curso d’água na área</t>
    </r>
  </si>
  <si>
    <r>
      <t xml:space="preserve">TAS = </t>
    </r>
    <r>
      <rPr>
        <sz val="11"/>
        <rFont val="Myriad Pro"/>
        <family val="2"/>
      </rPr>
      <t xml:space="preserve">taxa de aporte de sedimentos </t>
    </r>
  </si>
  <si>
    <r>
      <t>Q</t>
    </r>
    <r>
      <rPr>
        <i/>
        <vertAlign val="subscript"/>
        <sz val="11"/>
        <rFont val="Myriad Pro"/>
        <family val="2"/>
      </rPr>
      <t>mlt</t>
    </r>
    <r>
      <rPr>
        <i/>
        <sz val="11"/>
        <rFont val="Myriad Pro"/>
        <family val="2"/>
      </rPr>
      <t xml:space="preserve"> </t>
    </r>
    <r>
      <rPr>
        <sz val="11"/>
        <rFont val="Myriad Pro"/>
        <family val="2"/>
      </rPr>
      <t>= vazão média de longo termo do curso d’água</t>
    </r>
  </si>
  <si>
    <r>
      <t xml:space="preserve"> m</t>
    </r>
    <r>
      <rPr>
        <vertAlign val="superscript"/>
        <sz val="11"/>
        <rFont val="Myriad Pro"/>
        <family val="2"/>
      </rPr>
      <t>3</t>
    </r>
  </si>
  <si>
    <r>
      <t>I</t>
    </r>
    <r>
      <rPr>
        <i/>
        <vertAlign val="subscript"/>
        <sz val="11"/>
        <color theme="1"/>
        <rFont val="Myriad Pro"/>
        <family val="2"/>
      </rPr>
      <t>eta</t>
    </r>
    <r>
      <rPr>
        <sz val="11"/>
        <color theme="1"/>
        <rFont val="Myriad Pro"/>
        <family val="2"/>
      </rPr>
      <t xml:space="preserve"> = investimento necessário em estação de tratamento da água</t>
    </r>
  </si>
  <si>
    <t>Regulação de erosão do solo</t>
  </si>
  <si>
    <t>Recreação e turismo</t>
  </si>
  <si>
    <t>Valor Financeiro</t>
  </si>
  <si>
    <t xml:space="preserve">Valor Econômico </t>
  </si>
  <si>
    <t xml:space="preserve">1. Reposição de polinização </t>
  </si>
  <si>
    <t>Outros</t>
  </si>
  <si>
    <r>
      <t>A</t>
    </r>
    <r>
      <rPr>
        <i/>
        <vertAlign val="subscript"/>
        <sz val="11"/>
        <rFont val="Myriad Pro"/>
        <family val="2"/>
      </rPr>
      <t>jn</t>
    </r>
    <r>
      <rPr>
        <sz val="11"/>
        <rFont val="Myriad Pro"/>
        <family val="2"/>
      </rPr>
      <t xml:space="preserve"> = área </t>
    </r>
    <r>
      <rPr>
        <i/>
        <sz val="11"/>
        <rFont val="Myriad Pro"/>
        <family val="2"/>
      </rPr>
      <t>n</t>
    </r>
    <r>
      <rPr>
        <sz val="11"/>
        <rFont val="Myriad Pro"/>
        <family val="2"/>
      </rPr>
      <t xml:space="preserve"> da cultura agrícola </t>
    </r>
    <r>
      <rPr>
        <i/>
        <sz val="11"/>
        <rFont val="Myriad Pro"/>
        <family val="2"/>
      </rPr>
      <t>j</t>
    </r>
  </si>
  <si>
    <r>
      <t>Ipca</t>
    </r>
    <r>
      <rPr>
        <b/>
        <vertAlign val="subscript"/>
        <sz val="12"/>
        <color theme="1"/>
        <rFont val="Myriad Pro"/>
        <family val="2"/>
      </rPr>
      <t>j</t>
    </r>
  </si>
  <si>
    <t xml:space="preserve">2. Polinização selvagem </t>
  </si>
  <si>
    <t>Se refere aos serviço ecossistêmico de polinização autóctone (polinizadores residentes na região)</t>
  </si>
  <si>
    <r>
      <t>A</t>
    </r>
    <r>
      <rPr>
        <i/>
        <vertAlign val="subscript"/>
        <sz val="11"/>
        <color theme="1"/>
        <rFont val="Myriad Pro"/>
        <family val="2"/>
      </rPr>
      <t>jn</t>
    </r>
    <r>
      <rPr>
        <sz val="11"/>
        <color theme="1"/>
        <rFont val="Myriad Pro"/>
        <family val="2"/>
      </rPr>
      <t xml:space="preserve"> = área </t>
    </r>
    <r>
      <rPr>
        <i/>
        <sz val="11"/>
        <color theme="1"/>
        <rFont val="Myriad Pro"/>
        <family val="2"/>
      </rPr>
      <t>n</t>
    </r>
    <r>
      <rPr>
        <sz val="11"/>
        <color theme="1"/>
        <rFont val="Myriad Pro"/>
        <family val="2"/>
      </rPr>
      <t xml:space="preserve"> da cultura agrícola </t>
    </r>
    <r>
      <rPr>
        <i/>
        <sz val="11"/>
        <color theme="1"/>
        <rFont val="Myriad Pro"/>
        <family val="2"/>
      </rPr>
      <t>j</t>
    </r>
  </si>
  <si>
    <t>Lista suspensa</t>
  </si>
  <si>
    <t>Dependência e impacto</t>
  </si>
  <si>
    <t>Se não souber, deixe em branco.</t>
  </si>
  <si>
    <r>
      <rPr>
        <i/>
        <sz val="11"/>
        <color theme="1"/>
        <rFont val="Myriad Pro"/>
        <family val="2"/>
      </rPr>
      <t>Pmcaj</t>
    </r>
    <r>
      <rPr>
        <sz val="11"/>
        <color theme="1"/>
        <rFont val="Myriad Pro"/>
        <family val="2"/>
      </rPr>
      <t xml:space="preserve"> = produtividade máxima da cultura agrícola j </t>
    </r>
  </si>
  <si>
    <r>
      <rPr>
        <i/>
        <sz val="11"/>
        <color theme="1"/>
        <rFont val="Myriad Pro"/>
        <family val="2"/>
      </rPr>
      <t>$caj</t>
    </r>
    <r>
      <rPr>
        <sz val="11"/>
        <color theme="1"/>
        <rFont val="Myriad Pro"/>
        <family val="2"/>
      </rPr>
      <t xml:space="preserve"> = preço de venda da cultura agrícola j</t>
    </r>
  </si>
  <si>
    <t>Tabela 2.1 - Dados de uso do solo, área e distância da área provedora de polinizadores</t>
  </si>
  <si>
    <r>
      <t>Esf</t>
    </r>
    <r>
      <rPr>
        <i/>
        <vertAlign val="subscript"/>
        <sz val="11"/>
        <rFont val="Myriad Pro"/>
        <family val="2"/>
      </rPr>
      <t>rp</t>
    </r>
    <r>
      <rPr>
        <sz val="11"/>
        <rFont val="Myriad Pro"/>
        <family val="2"/>
      </rPr>
      <t xml:space="preserve"> = esforço necessário para a reposição total da polinização da qual depende a cultura agrícola </t>
    </r>
    <r>
      <rPr>
        <i/>
        <sz val="11"/>
        <rFont val="Myriad Pro"/>
        <family val="2"/>
      </rPr>
      <t>j</t>
    </r>
  </si>
  <si>
    <t>Caso não encontre as espécies diagnosticadas na tabela abaixo, use a Tabela 2.3 a seguir.</t>
  </si>
  <si>
    <r>
      <t xml:space="preserve">Totais </t>
    </r>
    <r>
      <rPr>
        <b/>
        <i/>
        <sz val="11"/>
        <color theme="1"/>
        <rFont val="Myriad Pro"/>
        <family val="2"/>
      </rPr>
      <t xml:space="preserve">J </t>
    </r>
    <r>
      <rPr>
        <b/>
        <sz val="11"/>
        <color theme="1"/>
        <rFont val="Myriad Pro"/>
        <family val="2"/>
      </rPr>
      <t>(R$)</t>
    </r>
  </si>
  <si>
    <r>
      <t xml:space="preserve">Totais </t>
    </r>
    <r>
      <rPr>
        <b/>
        <i/>
        <sz val="12"/>
        <rFont val="Myriad Pro"/>
        <family val="2"/>
      </rPr>
      <t xml:space="preserve">J </t>
    </r>
    <r>
      <rPr>
        <b/>
        <sz val="12"/>
        <rFont val="Myriad Pro"/>
        <family val="2"/>
      </rPr>
      <t>(R$)</t>
    </r>
  </si>
  <si>
    <t>Impacto e externalidade</t>
  </si>
  <si>
    <t>n/ha</t>
  </si>
  <si>
    <t>Se refere ao serviço ambiental de polinização alóctone (aluguel de colméias e polinização manual)</t>
  </si>
  <si>
    <t xml:space="preserve">Externalidade </t>
  </si>
  <si>
    <t>Biomassa utilizada atualmente no processo produtivo</t>
  </si>
  <si>
    <t>Biomassa</t>
  </si>
  <si>
    <t>Preencha com os valores obtidos para cada biomassa avaliada</t>
  </si>
  <si>
    <r>
      <rPr>
        <b/>
        <i/>
        <sz val="11"/>
        <rFont val="Myriad Pro"/>
        <family val="2"/>
      </rPr>
      <t>Qb</t>
    </r>
    <r>
      <rPr>
        <b/>
        <i/>
        <vertAlign val="subscript"/>
        <sz val="11"/>
        <rFont val="Myriad Pro"/>
        <family val="2"/>
      </rPr>
      <t>u</t>
    </r>
    <r>
      <rPr>
        <sz val="11"/>
        <rFont val="Myriad Pro"/>
        <family val="2"/>
      </rPr>
      <t xml:space="preserve"> = quantidade de biomassa utilizada atualmente </t>
    </r>
  </si>
  <si>
    <r>
      <rPr>
        <b/>
        <sz val="11"/>
        <rFont val="Myriad Pro"/>
        <family val="2"/>
      </rPr>
      <t>Q</t>
    </r>
    <r>
      <rPr>
        <b/>
        <vertAlign val="subscript"/>
        <sz val="11"/>
        <rFont val="Myriad Pro"/>
        <family val="2"/>
      </rPr>
      <t>au</t>
    </r>
    <r>
      <rPr>
        <sz val="11"/>
        <rFont val="Myriad Pro"/>
        <family val="2"/>
      </rPr>
      <t xml:space="preserve"> = quantidade de água utilizada atualmente</t>
    </r>
  </si>
  <si>
    <r>
      <rPr>
        <b/>
        <sz val="11"/>
        <color theme="1"/>
        <rFont val="Myriad Pro"/>
        <family val="2"/>
      </rPr>
      <t>Q</t>
    </r>
    <r>
      <rPr>
        <b/>
        <vertAlign val="subscript"/>
        <sz val="11"/>
        <color theme="1"/>
        <rFont val="Myriad Pro"/>
        <family val="2"/>
      </rPr>
      <t>ai</t>
    </r>
    <r>
      <rPr>
        <b/>
        <sz val="11"/>
        <color theme="1"/>
        <rFont val="Myriad Pro"/>
        <family val="2"/>
      </rPr>
      <t xml:space="preserve"> </t>
    </r>
    <r>
      <rPr>
        <sz val="11"/>
        <color theme="1"/>
        <rFont val="Myriad Pro"/>
        <family val="2"/>
      </rPr>
      <t>= quantidade de água demandada, mas indisponível no momento</t>
    </r>
  </si>
  <si>
    <r>
      <rPr>
        <b/>
        <sz val="11"/>
        <color theme="1"/>
        <rFont val="Myriad Pro"/>
        <family val="2"/>
      </rPr>
      <t>Q</t>
    </r>
    <r>
      <rPr>
        <b/>
        <vertAlign val="subscript"/>
        <sz val="11"/>
        <color theme="1"/>
        <rFont val="Myriad Pro"/>
        <family val="2"/>
      </rPr>
      <t>ad</t>
    </r>
    <r>
      <rPr>
        <sz val="11"/>
        <color theme="1"/>
        <rFont val="Myriad Pro"/>
        <family val="2"/>
      </rPr>
      <t xml:space="preserve"> = quantidade de água demandada</t>
    </r>
  </si>
  <si>
    <r>
      <rPr>
        <b/>
        <sz val="11"/>
        <color theme="1"/>
        <rFont val="Myriad Pro"/>
        <family val="2"/>
      </rPr>
      <t>Q</t>
    </r>
    <r>
      <rPr>
        <b/>
        <vertAlign val="subscript"/>
        <sz val="11"/>
        <color theme="1"/>
        <rFont val="Myriad Pro"/>
        <family val="2"/>
      </rPr>
      <t>pmax</t>
    </r>
    <r>
      <rPr>
        <b/>
        <sz val="11"/>
        <color theme="1"/>
        <rFont val="Myriad Pro"/>
        <family val="2"/>
      </rPr>
      <t xml:space="preserve"> </t>
    </r>
    <r>
      <rPr>
        <sz val="11"/>
        <color theme="1"/>
        <rFont val="Myriad Pro"/>
        <family val="2"/>
      </rPr>
      <t>= quantidade máxima produzida</t>
    </r>
  </si>
  <si>
    <r>
      <rPr>
        <b/>
        <sz val="11"/>
        <color theme="1"/>
        <rFont val="Myriad Pro"/>
        <family val="2"/>
      </rPr>
      <t>$pa</t>
    </r>
    <r>
      <rPr>
        <b/>
        <vertAlign val="subscript"/>
        <sz val="11"/>
        <color theme="1"/>
        <rFont val="Myriad Pro"/>
        <family val="2"/>
      </rPr>
      <t>imp</t>
    </r>
    <r>
      <rPr>
        <sz val="11"/>
        <color theme="1"/>
        <rFont val="Myriad Pro"/>
        <family val="2"/>
      </rPr>
      <t xml:space="preserve"> = preço da água importada (trazida de outra bacia hidrográfica)</t>
    </r>
  </si>
  <si>
    <r>
      <rPr>
        <b/>
        <sz val="11"/>
        <color theme="1"/>
        <rFont val="Myriad Pro"/>
        <family val="2"/>
      </rPr>
      <t>$log</t>
    </r>
    <r>
      <rPr>
        <b/>
        <vertAlign val="subscript"/>
        <sz val="11"/>
        <color theme="1"/>
        <rFont val="Myriad Pro"/>
        <family val="2"/>
      </rPr>
      <t>ia</t>
    </r>
    <r>
      <rPr>
        <b/>
        <sz val="11"/>
        <color theme="1"/>
        <rFont val="Myriad Pro"/>
        <family val="2"/>
      </rPr>
      <t xml:space="preserve"> =</t>
    </r>
    <r>
      <rPr>
        <sz val="11"/>
        <color theme="1"/>
        <rFont val="Myriad Pro"/>
        <family val="2"/>
      </rPr>
      <t xml:space="preserve"> custos de logística com a importação da água</t>
    </r>
  </si>
  <si>
    <r>
      <rPr>
        <b/>
        <sz val="11"/>
        <rFont val="Myriad Pro"/>
        <family val="2"/>
      </rPr>
      <t>Q</t>
    </r>
    <r>
      <rPr>
        <b/>
        <vertAlign val="subscript"/>
        <sz val="11"/>
        <rFont val="Myriad Pro"/>
        <family val="2"/>
      </rPr>
      <t>adev</t>
    </r>
    <r>
      <rPr>
        <b/>
        <sz val="11"/>
        <rFont val="Myriad Pro"/>
        <family val="2"/>
      </rPr>
      <t xml:space="preserve"> </t>
    </r>
    <r>
      <rPr>
        <sz val="11"/>
        <rFont val="Myriad Pro"/>
        <family val="2"/>
      </rPr>
      <t>= quantidade de água devolvida para o mesmo corpo d’água de onde foi captada</t>
    </r>
  </si>
  <si>
    <r>
      <rPr>
        <b/>
        <i/>
        <sz val="11"/>
        <color theme="1"/>
        <rFont val="Myriad Pro"/>
        <family val="2"/>
      </rPr>
      <t xml:space="preserve">Qtc </t>
    </r>
    <r>
      <rPr>
        <sz val="11"/>
        <color theme="1"/>
        <rFont val="Myriad Pro"/>
        <family val="2"/>
      </rPr>
      <t>= quantidade total de combustíveis necessária para as atividades da empresa</t>
    </r>
  </si>
  <si>
    <r>
      <t>Qb</t>
    </r>
    <r>
      <rPr>
        <b/>
        <vertAlign val="subscript"/>
        <sz val="11"/>
        <rFont val="Myriad Pro"/>
        <family val="2"/>
      </rPr>
      <t>r</t>
    </r>
    <r>
      <rPr>
        <b/>
        <sz val="11"/>
        <rFont val="Myriad Pro"/>
        <family val="2"/>
      </rPr>
      <t xml:space="preserve">= </t>
    </r>
    <r>
      <rPr>
        <sz val="11"/>
        <rFont val="Myriad Pro"/>
        <family val="2"/>
      </rPr>
      <t xml:space="preserve">quantidade de biomassa a ser reposta devido à indisponibilidade no período </t>
    </r>
    <r>
      <rPr>
        <vertAlign val="subscript"/>
        <sz val="11"/>
        <rFont val="Myriad Pro"/>
        <family val="2"/>
      </rPr>
      <t xml:space="preserve"> </t>
    </r>
  </si>
  <si>
    <t xml:space="preserve">Alternativa energética mais custo-eficaz para substituir a biomassa </t>
  </si>
  <si>
    <r>
      <rPr>
        <b/>
        <i/>
        <sz val="11"/>
        <color theme="1"/>
        <rFont val="Myriad Pro"/>
        <family val="2"/>
      </rPr>
      <t>Pae</t>
    </r>
    <r>
      <rPr>
        <b/>
        <i/>
        <vertAlign val="subscript"/>
        <sz val="11"/>
        <color theme="1"/>
        <rFont val="Myriad Pro"/>
        <family val="2"/>
      </rPr>
      <t>r</t>
    </r>
    <r>
      <rPr>
        <b/>
        <sz val="11"/>
        <color theme="1"/>
        <rFont val="Myriad Pro"/>
        <family val="2"/>
      </rPr>
      <t xml:space="preserve"> </t>
    </r>
    <r>
      <rPr>
        <sz val="11"/>
        <color theme="1"/>
        <rFont val="Myriad Pro"/>
        <family val="2"/>
      </rPr>
      <t>= produtividade média anual da atividade econômica removida</t>
    </r>
  </si>
  <si>
    <r>
      <rPr>
        <b/>
        <i/>
        <sz val="11"/>
        <rFont val="Myriad Pro"/>
        <family val="2"/>
      </rPr>
      <t xml:space="preserve">A </t>
    </r>
    <r>
      <rPr>
        <sz val="11"/>
        <rFont val="Myriad Pro"/>
        <family val="2"/>
      </rPr>
      <t>= Área da atividade econômica removida para a produção de biomassa</t>
    </r>
  </si>
  <si>
    <r>
      <t>EBc</t>
    </r>
    <r>
      <rPr>
        <b/>
        <vertAlign val="subscript"/>
        <sz val="12"/>
        <color rgb="FF000000"/>
        <rFont val="Myriad Pro"/>
        <family val="2"/>
      </rPr>
      <t>mut</t>
    </r>
    <r>
      <rPr>
        <b/>
        <sz val="12"/>
        <color theme="1"/>
        <rFont val="Myriad Pro"/>
        <family val="2"/>
      </rPr>
      <t xml:space="preserve"> </t>
    </r>
  </si>
  <si>
    <r>
      <t>EBc</t>
    </r>
    <r>
      <rPr>
        <b/>
        <vertAlign val="subscript"/>
        <sz val="12"/>
        <color theme="1"/>
        <rFont val="Myriad Pro"/>
        <family val="2"/>
      </rPr>
      <t>af</t>
    </r>
    <r>
      <rPr>
        <b/>
        <sz val="12"/>
        <color theme="1"/>
        <rFont val="Myriad Pro"/>
        <family val="2"/>
      </rPr>
      <t xml:space="preserve"> </t>
    </r>
  </si>
  <si>
    <r>
      <rPr>
        <b/>
        <i/>
        <sz val="11"/>
        <rFont val="Myriad Pro"/>
        <family val="2"/>
      </rPr>
      <t>Qalt</t>
    </r>
    <r>
      <rPr>
        <b/>
        <i/>
        <vertAlign val="subscript"/>
        <sz val="11"/>
        <rFont val="Myriad Pro"/>
        <family val="2"/>
      </rPr>
      <t>f</t>
    </r>
    <r>
      <rPr>
        <b/>
        <sz val="11"/>
        <rFont val="Myriad Pro"/>
        <family val="2"/>
      </rPr>
      <t xml:space="preserve"> </t>
    </r>
    <r>
      <rPr>
        <sz val="11"/>
        <rFont val="Myriad Pro"/>
        <family val="2"/>
      </rPr>
      <t>= quantidade da alternativa energética fóssil que seria necessária para substituir a biomassa utilizada pela empresa</t>
    </r>
  </si>
  <si>
    <r>
      <t>R$/m</t>
    </r>
    <r>
      <rPr>
        <vertAlign val="superscript"/>
        <sz val="11"/>
        <color theme="1"/>
        <rFont val="Myriad Pro"/>
        <family val="2"/>
      </rPr>
      <t>3</t>
    </r>
  </si>
  <si>
    <t xml:space="preserve">Unidade </t>
  </si>
  <si>
    <t>Unidades de preço</t>
  </si>
  <si>
    <t>Fator de Emissão para cálculo</t>
  </si>
  <si>
    <t xml:space="preserve">Instruções </t>
  </si>
  <si>
    <t>Parâmetro</t>
  </si>
  <si>
    <t>Recursos Hídricos Superficiais</t>
  </si>
  <si>
    <t>Água Subterrâneas</t>
  </si>
  <si>
    <t>em 100mL</t>
  </si>
  <si>
    <t>unidades</t>
  </si>
  <si>
    <t xml:space="preserve">Categoria do corpo d´água </t>
  </si>
  <si>
    <t>1. Emissões Líquidas</t>
  </si>
  <si>
    <r>
      <t>tCO</t>
    </r>
    <r>
      <rPr>
        <vertAlign val="subscript"/>
        <sz val="10"/>
        <rFont val="Myriad Pro"/>
        <family val="2"/>
      </rPr>
      <t>2</t>
    </r>
    <r>
      <rPr>
        <sz val="10"/>
        <rFont val="Myriad Pro"/>
        <family val="2"/>
      </rPr>
      <t>e</t>
    </r>
  </si>
  <si>
    <t xml:space="preserve">Se indisponível, deixe em branco. </t>
  </si>
  <si>
    <r>
      <t xml:space="preserve">Uso do solo </t>
    </r>
    <r>
      <rPr>
        <i/>
        <sz val="11"/>
        <rFont val="Myriad Pro"/>
        <family val="2"/>
      </rPr>
      <t>ex-ante</t>
    </r>
    <r>
      <rPr>
        <sz val="11"/>
        <rFont val="Myriad Pro"/>
        <family val="2"/>
      </rPr>
      <t xml:space="preserve"> ao projeto nas áreas de plantio total: </t>
    </r>
  </si>
  <si>
    <t>Adota-se US$ 38</t>
  </si>
  <si>
    <r>
      <rPr>
        <b/>
        <i/>
        <sz val="11"/>
        <rFont val="Myriad Pro"/>
        <family val="2"/>
      </rPr>
      <t>CSC</t>
    </r>
    <r>
      <rPr>
        <b/>
        <sz val="11"/>
        <rFont val="Myriad Pro"/>
        <family val="2"/>
      </rPr>
      <t xml:space="preserve"> </t>
    </r>
    <r>
      <rPr>
        <sz val="11"/>
        <rFont val="Myriad Pro"/>
        <family val="2"/>
      </rPr>
      <t>= custo social do carbono</t>
    </r>
  </si>
  <si>
    <r>
      <rPr>
        <b/>
        <sz val="11"/>
        <rFont val="Myriad Pro"/>
        <family val="2"/>
      </rPr>
      <t>C</t>
    </r>
    <r>
      <rPr>
        <b/>
        <vertAlign val="subscript"/>
        <sz val="11"/>
        <rFont val="Myriad Pro"/>
        <family val="2"/>
      </rPr>
      <t>Vrec</t>
    </r>
    <r>
      <rPr>
        <b/>
        <sz val="11"/>
        <rFont val="Myriad Pro"/>
        <family val="2"/>
      </rPr>
      <t xml:space="preserve"> </t>
    </r>
    <r>
      <rPr>
        <sz val="11"/>
        <rFont val="Myriad Pro"/>
        <family val="2"/>
      </rPr>
      <t>= Estoque de carbono contido na biomassa da vegetação recuperada, podendo incluir o carbono acima e abaixo do solo</t>
    </r>
  </si>
  <si>
    <r>
      <rPr>
        <b/>
        <i/>
        <sz val="11"/>
        <color theme="1"/>
        <rFont val="Myriad Pro"/>
        <family val="2"/>
      </rPr>
      <t>A</t>
    </r>
    <r>
      <rPr>
        <b/>
        <i/>
        <vertAlign val="subscript"/>
        <sz val="11"/>
        <color theme="1"/>
        <rFont val="Myriad Pro"/>
        <family val="2"/>
      </rPr>
      <t>rem</t>
    </r>
    <r>
      <rPr>
        <sz val="11"/>
        <color theme="1"/>
        <rFont val="Myriad Pro"/>
        <family val="2"/>
      </rPr>
      <t>= área onde ocorreu remoção de vegetação</t>
    </r>
  </si>
  <si>
    <r>
      <t>tCO</t>
    </r>
    <r>
      <rPr>
        <vertAlign val="subscript"/>
        <sz val="11"/>
        <color theme="1"/>
        <rFont val="Myriad Pro"/>
        <family val="2"/>
      </rPr>
      <t>2</t>
    </r>
    <r>
      <rPr>
        <sz val="11"/>
        <color theme="1"/>
        <rFont val="Myriad Pro"/>
        <family val="2"/>
      </rPr>
      <t>/ha</t>
    </r>
  </si>
  <si>
    <r>
      <rPr>
        <b/>
        <sz val="11"/>
        <rFont val="Myriad Pro"/>
        <family val="2"/>
      </rPr>
      <t>C</t>
    </r>
    <r>
      <rPr>
        <b/>
        <vertAlign val="subscript"/>
        <sz val="11"/>
        <rFont val="Myriad Pro"/>
        <family val="2"/>
      </rPr>
      <t>pd</t>
    </r>
    <r>
      <rPr>
        <b/>
        <sz val="11"/>
        <rFont val="Myriad Pro"/>
        <family val="2"/>
      </rPr>
      <t xml:space="preserve"> </t>
    </r>
    <r>
      <rPr>
        <sz val="11"/>
        <rFont val="Myriad Pro"/>
        <family val="2"/>
      </rPr>
      <t>= Estoque de carbono contido na biomassa da vegetação remanescente após o desmatamento, podendo incluir o carbono acima e abaixo do solo</t>
    </r>
  </si>
  <si>
    <r>
      <rPr>
        <b/>
        <sz val="11"/>
        <rFont val="Myriad Pro"/>
        <family val="2"/>
      </rPr>
      <t>C</t>
    </r>
    <r>
      <rPr>
        <b/>
        <vertAlign val="subscript"/>
        <sz val="11"/>
        <rFont val="Myriad Pro"/>
        <family val="2"/>
      </rPr>
      <t>veg</t>
    </r>
    <r>
      <rPr>
        <b/>
        <sz val="11"/>
        <rFont val="Myriad Pro"/>
        <family val="2"/>
      </rPr>
      <t xml:space="preserve"> </t>
    </r>
    <r>
      <rPr>
        <sz val="11"/>
        <rFont val="Myriad Pro"/>
        <family val="2"/>
      </rPr>
      <t>= Estoque de carbono contido na biomassa da vegetação, podendo incluir o carbono acima e abaixo do solo</t>
    </r>
  </si>
  <si>
    <t xml:space="preserve">Se indisponível, clique aqui.  </t>
  </si>
  <si>
    <r>
      <rPr>
        <b/>
        <i/>
        <sz val="11"/>
        <rFont val="Myriad Pro"/>
        <family val="2"/>
      </rPr>
      <t>A</t>
    </r>
    <r>
      <rPr>
        <b/>
        <sz val="11"/>
        <rFont val="Myriad Pro"/>
        <family val="2"/>
      </rPr>
      <t xml:space="preserve"> </t>
    </r>
    <r>
      <rPr>
        <sz val="11"/>
        <rFont val="Myriad Pro"/>
        <family val="2"/>
      </rPr>
      <t>= área total</t>
    </r>
  </si>
  <si>
    <r>
      <rPr>
        <b/>
        <i/>
        <sz val="11"/>
        <rFont val="Myriad Pro"/>
        <family val="2"/>
      </rPr>
      <t>T</t>
    </r>
    <r>
      <rPr>
        <b/>
        <i/>
        <vertAlign val="subscript"/>
        <sz val="11"/>
        <rFont val="Myriad Pro"/>
        <family val="2"/>
      </rPr>
      <t>lb</t>
    </r>
    <r>
      <rPr>
        <sz val="11"/>
        <rFont val="Myriad Pro"/>
        <family val="2"/>
      </rPr>
      <t xml:space="preserve"> = Taxa de desmatamento na linha de base</t>
    </r>
  </si>
  <si>
    <r>
      <rPr>
        <b/>
        <i/>
        <sz val="11"/>
        <color theme="1"/>
        <rFont val="Myriad Pro"/>
        <family val="2"/>
      </rPr>
      <t>T</t>
    </r>
    <r>
      <rPr>
        <b/>
        <i/>
        <vertAlign val="subscript"/>
        <sz val="11"/>
        <color theme="1"/>
        <rFont val="Myriad Pro"/>
        <family val="2"/>
      </rPr>
      <t xml:space="preserve">p </t>
    </r>
    <r>
      <rPr>
        <sz val="11"/>
        <color theme="1"/>
        <rFont val="Myriad Pro"/>
        <family val="2"/>
      </rPr>
      <t>= Taxa de desmatamento com o projeto</t>
    </r>
  </si>
  <si>
    <t>Se indisponível, deixe em branco.</t>
  </si>
  <si>
    <r>
      <rPr>
        <b/>
        <sz val="11"/>
        <rFont val="Myriad Pro"/>
        <family val="2"/>
      </rPr>
      <t>CSC</t>
    </r>
    <r>
      <rPr>
        <sz val="11"/>
        <rFont val="Myriad Pro"/>
        <family val="2"/>
      </rPr>
      <t xml:space="preserve"> = Custo social do carbono</t>
    </r>
  </si>
  <si>
    <t>APOIO REGULAÇÃO DO CLIMA GLOBAL</t>
  </si>
  <si>
    <t>APOIO ASSIMILAÇÃO DE EFLUENTES</t>
  </si>
  <si>
    <r>
      <t>GPpaca</t>
    </r>
    <r>
      <rPr>
        <i/>
        <vertAlign val="subscript"/>
        <sz val="11"/>
        <color theme="1"/>
        <rFont val="Myriad Pro"/>
        <family val="2"/>
      </rPr>
      <t>j</t>
    </r>
    <r>
      <rPr>
        <sz val="11"/>
        <color theme="1"/>
        <rFont val="Myriad Pro"/>
        <family val="2"/>
      </rPr>
      <t xml:space="preserve"> = Ganho de produtividade com polinização por abelhas da cultura agrícola </t>
    </r>
    <r>
      <rPr>
        <i/>
        <sz val="11"/>
        <color theme="1"/>
        <rFont val="Myriad Pro"/>
        <family val="2"/>
      </rPr>
      <t>j</t>
    </r>
    <r>
      <rPr>
        <sz val="11"/>
        <color theme="1"/>
        <rFont val="Myriad Pro"/>
        <family val="2"/>
      </rPr>
      <t xml:space="preserve"> </t>
    </r>
  </si>
  <si>
    <r>
      <t>Pmca</t>
    </r>
    <r>
      <rPr>
        <i/>
        <vertAlign val="subscript"/>
        <sz val="11"/>
        <rFont val="Myriad Pro"/>
        <family val="2"/>
      </rPr>
      <t>j</t>
    </r>
    <r>
      <rPr>
        <sz val="11"/>
        <rFont val="Myriad Pro"/>
        <family val="2"/>
      </rPr>
      <t xml:space="preserve"> = produtividade máxima da cultura agrícola </t>
    </r>
    <r>
      <rPr>
        <i/>
        <sz val="11"/>
        <rFont val="Myriad Pro"/>
        <family val="2"/>
      </rPr>
      <t>j</t>
    </r>
    <r>
      <rPr>
        <sz val="11"/>
        <rFont val="Myriad Pro"/>
        <family val="2"/>
      </rPr>
      <t xml:space="preserve"> </t>
    </r>
  </si>
  <si>
    <r>
      <t>DPca</t>
    </r>
    <r>
      <rPr>
        <b/>
        <vertAlign val="subscript"/>
        <sz val="12"/>
        <rFont val="Myriad Pro"/>
        <family val="2"/>
      </rPr>
      <t>j</t>
    </r>
    <r>
      <rPr>
        <b/>
        <sz val="12"/>
        <rFont val="Myriad Pro"/>
        <family val="2"/>
      </rPr>
      <t xml:space="preserve"> </t>
    </r>
  </si>
  <si>
    <r>
      <t xml:space="preserve">Utilize os resultados de valor deste quadro para preencher a </t>
    </r>
    <r>
      <rPr>
        <sz val="11"/>
        <color rgb="FFFF0000"/>
        <rFont val="Myriad Pro"/>
        <family val="2"/>
      </rPr>
      <t>Tabela 1.1</t>
    </r>
    <r>
      <rPr>
        <sz val="11"/>
        <rFont val="Myriad Pro"/>
        <family val="2"/>
      </rPr>
      <t xml:space="preserve"> - Totalização </t>
    </r>
    <r>
      <rPr>
        <sz val="11"/>
        <color rgb="FFFF0000"/>
        <rFont val="Myriad Pro"/>
        <family val="2"/>
      </rPr>
      <t>de valores d</t>
    </r>
    <r>
      <rPr>
        <sz val="11"/>
        <rFont val="Myriad Pro"/>
        <family val="2"/>
      </rPr>
      <t>e dependência</t>
    </r>
  </si>
  <si>
    <r>
      <t>$cd</t>
    </r>
    <r>
      <rPr>
        <vertAlign val="subscript"/>
        <sz val="11"/>
        <rFont val="Myriad Pro"/>
        <family val="2"/>
      </rPr>
      <t>rp</t>
    </r>
    <r>
      <rPr>
        <sz val="11"/>
        <rFont val="Myriad Pro"/>
        <family val="2"/>
      </rPr>
      <t xml:space="preserve"> = custos diretos do esforço de reposição da polinização</t>
    </r>
  </si>
  <si>
    <r>
      <t>$ci</t>
    </r>
    <r>
      <rPr>
        <i/>
        <vertAlign val="subscript"/>
        <sz val="11"/>
        <rFont val="Myriad Pro"/>
        <family val="2"/>
      </rPr>
      <t>rp</t>
    </r>
    <r>
      <rPr>
        <sz val="11"/>
        <rFont val="Myriad Pro"/>
        <family val="2"/>
      </rPr>
      <t xml:space="preserve"> = custos indiretos da reposição de polinização</t>
    </r>
  </si>
  <si>
    <r>
      <t xml:space="preserve">TOTAIS </t>
    </r>
    <r>
      <rPr>
        <b/>
        <i/>
        <sz val="11"/>
        <color theme="1"/>
        <rFont val="Myriad Pro"/>
        <family val="2"/>
      </rPr>
      <t xml:space="preserve">J </t>
    </r>
    <r>
      <rPr>
        <b/>
        <sz val="11"/>
        <color theme="1"/>
        <rFont val="Myriad Pro"/>
        <family val="2"/>
      </rPr>
      <t>(R$)</t>
    </r>
  </si>
  <si>
    <r>
      <t xml:space="preserve">TOTAIS </t>
    </r>
    <r>
      <rPr>
        <b/>
        <i/>
        <sz val="11"/>
        <rFont val="Myriad Pro"/>
        <family val="2"/>
      </rPr>
      <t xml:space="preserve">J </t>
    </r>
    <r>
      <rPr>
        <b/>
        <sz val="11"/>
        <rFont val="Myriad Pro"/>
        <family val="2"/>
      </rPr>
      <t>(R$)</t>
    </r>
  </si>
  <si>
    <r>
      <t>GPpaca</t>
    </r>
    <r>
      <rPr>
        <i/>
        <vertAlign val="subscript"/>
        <sz val="11"/>
        <rFont val="Myriad Pro"/>
        <family val="2"/>
      </rPr>
      <t>j</t>
    </r>
    <r>
      <rPr>
        <sz val="11"/>
        <rFont val="Myriad Pro"/>
        <family val="2"/>
      </rPr>
      <t xml:space="preserve"> = ganho de produtividade com polinização por abelhas da cultura agrícola </t>
    </r>
    <r>
      <rPr>
        <i/>
        <sz val="11"/>
        <rFont val="Myriad Pro"/>
        <family val="2"/>
      </rPr>
      <t>j</t>
    </r>
    <r>
      <rPr>
        <sz val="11"/>
        <rFont val="Myriad Pro"/>
        <family val="2"/>
      </rPr>
      <t xml:space="preserve"> </t>
    </r>
  </si>
  <si>
    <r>
      <t>DPca</t>
    </r>
    <r>
      <rPr>
        <b/>
        <vertAlign val="subscript"/>
        <sz val="12"/>
        <rFont val="Myriad Pro"/>
        <family val="2"/>
      </rPr>
      <t>j</t>
    </r>
  </si>
  <si>
    <r>
      <t>Polinizadores já cadastrados (Rp</t>
    </r>
    <r>
      <rPr>
        <b/>
        <vertAlign val="subscript"/>
        <sz val="11"/>
        <color theme="1"/>
        <rFont val="Myriad Pro"/>
        <family val="2"/>
      </rPr>
      <t>m)</t>
    </r>
  </si>
  <si>
    <r>
      <t>Ipca</t>
    </r>
    <r>
      <rPr>
        <b/>
        <vertAlign val="subscript"/>
        <sz val="12"/>
        <rFont val="Myriad Pro"/>
        <family val="2"/>
      </rPr>
      <t>j</t>
    </r>
  </si>
  <si>
    <t xml:space="preserve">Preencha com os valores obtidos para os diferentes cenários de provisão de água, se for o caso. </t>
  </si>
  <si>
    <r>
      <rPr>
        <b/>
        <sz val="11"/>
        <rFont val="Myriad Pro"/>
        <family val="2"/>
      </rPr>
      <t>Qa</t>
    </r>
    <r>
      <rPr>
        <b/>
        <vertAlign val="subscript"/>
        <sz val="11"/>
        <rFont val="Myriad Pro"/>
        <family val="2"/>
      </rPr>
      <t>cap</t>
    </r>
    <r>
      <rPr>
        <b/>
        <sz val="11"/>
        <rFont val="Myriad Pro"/>
        <family val="2"/>
      </rPr>
      <t xml:space="preserve"> </t>
    </r>
    <r>
      <rPr>
        <sz val="11"/>
        <rFont val="Myriad Pro"/>
        <family val="2"/>
      </rPr>
      <t>= quantidade de água captada</t>
    </r>
  </si>
  <si>
    <t>UNT</t>
  </si>
  <si>
    <t>mg/L O2</t>
  </si>
  <si>
    <t>mg Pt/L</t>
  </si>
  <si>
    <t>μg/L</t>
  </si>
  <si>
    <t>mg/L</t>
  </si>
  <si>
    <t>mg/L Al</t>
  </si>
  <si>
    <t>mg/L Sb</t>
  </si>
  <si>
    <t>PROVISÃO DE BIOMASSA COMBUSTÍVEL</t>
  </si>
  <si>
    <t>Densidade</t>
  </si>
  <si>
    <t>Fator de Emissão</t>
  </si>
  <si>
    <t xml:space="preserve">Combustível </t>
  </si>
  <si>
    <t>Parâmetro a ser avaliado</t>
  </si>
  <si>
    <t>mg/L Cl</t>
  </si>
  <si>
    <t>visitantes</t>
  </si>
  <si>
    <r>
      <t>Aae</t>
    </r>
    <r>
      <rPr>
        <b/>
        <vertAlign val="subscript"/>
        <sz val="12"/>
        <rFont val="Myriad Pro"/>
        <family val="2"/>
      </rPr>
      <t>alt</t>
    </r>
    <r>
      <rPr>
        <b/>
        <sz val="12"/>
        <rFont val="Myriad Pro"/>
        <family val="2"/>
      </rPr>
      <t xml:space="preserve"> </t>
    </r>
  </si>
  <si>
    <t>Nv/P</t>
  </si>
  <si>
    <t>Preencha com os valores obtidos para cada situação avaliada</t>
  </si>
  <si>
    <t>Tabela 1.1 - Totalização dos valores de dependência (R$)</t>
  </si>
  <si>
    <r>
      <t>Q</t>
    </r>
    <r>
      <rPr>
        <i/>
        <vertAlign val="subscript"/>
        <sz val="11"/>
        <rFont val="Myriad Pro"/>
        <family val="2"/>
      </rPr>
      <t>rp</t>
    </r>
    <r>
      <rPr>
        <sz val="11"/>
        <rFont val="Myriad Pro"/>
        <family val="2"/>
      </rPr>
      <t xml:space="preserve"> = quantidade de reposição de polinização</t>
    </r>
  </si>
  <si>
    <t>DPcaj (relativo)</t>
  </si>
  <si>
    <t>R$/ton</t>
  </si>
  <si>
    <r>
      <t>Tabela 2.2 - Riqueza (Rp</t>
    </r>
    <r>
      <rPr>
        <b/>
        <vertAlign val="subscript"/>
        <sz val="11"/>
        <color rgb="FF00B050"/>
        <rFont val="Myriad Pro"/>
        <family val="2"/>
      </rPr>
      <t>m</t>
    </r>
    <r>
      <rPr>
        <b/>
        <sz val="11"/>
        <color rgb="FF00B050"/>
        <rFont val="Myriad Pro"/>
        <family val="2"/>
      </rPr>
      <t>) e abundância (Ap</t>
    </r>
    <r>
      <rPr>
        <b/>
        <vertAlign val="subscript"/>
        <sz val="11"/>
        <color rgb="FF00B050"/>
        <rFont val="Myriad Pro"/>
        <family val="2"/>
      </rPr>
      <t>m</t>
    </r>
    <r>
      <rPr>
        <b/>
        <sz val="11"/>
        <color rgb="FF00B050"/>
        <rFont val="Myriad Pro"/>
        <family val="2"/>
      </rPr>
      <t xml:space="preserve">)  de polinizadores para espécies </t>
    </r>
    <r>
      <rPr>
        <b/>
        <u/>
        <sz val="11"/>
        <color rgb="FF00B050"/>
        <rFont val="Myriad Pro"/>
        <family val="2"/>
      </rPr>
      <t>já</t>
    </r>
    <r>
      <rPr>
        <b/>
        <sz val="11"/>
        <color rgb="FF00B050"/>
        <rFont val="Myriad Pro"/>
        <family val="2"/>
      </rPr>
      <t xml:space="preserve"> cadastradas</t>
    </r>
  </si>
  <si>
    <r>
      <t>Tabela 2.3 - Riqueza (Rp</t>
    </r>
    <r>
      <rPr>
        <b/>
        <vertAlign val="subscript"/>
        <sz val="11"/>
        <color rgb="FF00B050"/>
        <rFont val="Myriad Pro"/>
        <family val="2"/>
      </rPr>
      <t>m</t>
    </r>
    <r>
      <rPr>
        <b/>
        <sz val="11"/>
        <color rgb="FF00B050"/>
        <rFont val="Myriad Pro"/>
        <family val="2"/>
      </rPr>
      <t>), abundância (Ap</t>
    </r>
    <r>
      <rPr>
        <b/>
        <vertAlign val="subscript"/>
        <sz val="11"/>
        <color rgb="FF00B050"/>
        <rFont val="Myriad Pro"/>
        <family val="2"/>
      </rPr>
      <t>m</t>
    </r>
    <r>
      <rPr>
        <b/>
        <sz val="11"/>
        <color rgb="FF00B050"/>
        <rFont val="Myriad Pro"/>
        <family val="2"/>
      </rPr>
      <t>)  e distância de vôo (d</t>
    </r>
    <r>
      <rPr>
        <b/>
        <vertAlign val="subscript"/>
        <sz val="11"/>
        <color rgb="FF00B050"/>
        <rFont val="Myriad Pro"/>
        <family val="2"/>
      </rPr>
      <t>i</t>
    </r>
    <r>
      <rPr>
        <b/>
        <sz val="11"/>
        <color rgb="FF00B050"/>
        <rFont val="Myriad Pro"/>
        <family val="2"/>
      </rPr>
      <t xml:space="preserve">) de polinizadores para espécies </t>
    </r>
    <r>
      <rPr>
        <b/>
        <u/>
        <sz val="11"/>
        <color rgb="FF00B050"/>
        <rFont val="Myriad Pro"/>
        <family val="2"/>
      </rPr>
      <t>não</t>
    </r>
    <r>
      <rPr>
        <b/>
        <sz val="11"/>
        <color rgb="FF00B050"/>
        <rFont val="Myriad Pro"/>
        <family val="2"/>
      </rPr>
      <t xml:space="preserve"> cadastradas</t>
    </r>
  </si>
  <si>
    <r>
      <t>Rp</t>
    </r>
    <r>
      <rPr>
        <b/>
        <vertAlign val="subscript"/>
        <sz val="11"/>
        <color theme="1"/>
        <rFont val="Myriad Pro"/>
        <family val="2"/>
      </rPr>
      <t>m</t>
    </r>
  </si>
  <si>
    <r>
      <t>Insira na tabela abaixo as espécies diagnosticadas e que não estão cadastradas. Espécies que tenham a mesma distância de voo (</t>
    </r>
    <r>
      <rPr>
        <i/>
        <sz val="11"/>
        <color theme="1"/>
        <rFont val="Myriad Pro"/>
        <family val="2"/>
      </rPr>
      <t>di</t>
    </r>
    <r>
      <rPr>
        <sz val="11"/>
        <color theme="1"/>
        <rFont val="Myriad Pro"/>
        <family val="2"/>
      </rPr>
      <t>) ou distância entre as bases das asas (</t>
    </r>
    <r>
      <rPr>
        <i/>
        <sz val="11"/>
        <color theme="1"/>
        <rFont val="Myriad Pro"/>
        <family val="2"/>
      </rPr>
      <t>Ti</t>
    </r>
    <r>
      <rPr>
        <sz val="11"/>
        <color theme="1"/>
        <rFont val="Myriad Pro"/>
        <family val="2"/>
      </rPr>
      <t>) podem ser agrupadas por conveniência, se desejado. Não é necessário um nome científico exato, basta um nome qualquer que identifique a espécie ou grupo.</t>
    </r>
  </si>
  <si>
    <r>
      <t>d</t>
    </r>
    <r>
      <rPr>
        <b/>
        <vertAlign val="subscript"/>
        <sz val="11"/>
        <color theme="1"/>
        <rFont val="Myriad Pro"/>
        <family val="2"/>
      </rPr>
      <t>mn</t>
    </r>
    <r>
      <rPr>
        <b/>
        <sz val="11"/>
        <color theme="1"/>
        <rFont val="Myriad Pro"/>
        <family val="2"/>
      </rPr>
      <t xml:space="preserve"> = </t>
    </r>
    <r>
      <rPr>
        <sz val="11"/>
        <color theme="1"/>
        <rFont val="Myriad Pro"/>
        <family val="2"/>
      </rPr>
      <t xml:space="preserve">Distância para área </t>
    </r>
    <r>
      <rPr>
        <i/>
        <sz val="11"/>
        <color theme="1"/>
        <rFont val="Myriad Pro"/>
        <family val="2"/>
      </rPr>
      <t>n (Km)</t>
    </r>
  </si>
  <si>
    <t>di (km)</t>
  </si>
  <si>
    <r>
      <rPr>
        <i/>
        <sz val="11"/>
        <rFont val="Myriad Pro"/>
        <family val="2"/>
      </rPr>
      <t>Dpca</t>
    </r>
    <r>
      <rPr>
        <i/>
        <vertAlign val="subscript"/>
        <sz val="11"/>
        <rFont val="Myriad Pro"/>
        <family val="2"/>
      </rPr>
      <t>j</t>
    </r>
    <r>
      <rPr>
        <i/>
        <sz val="11"/>
        <rFont val="Myriad Pro"/>
        <family val="2"/>
      </rPr>
      <t xml:space="preserve"> </t>
    </r>
    <r>
      <rPr>
        <sz val="11"/>
        <rFont val="Myriad Pro"/>
        <family val="2"/>
      </rPr>
      <t>= estimativa da densidade de polinizadores necessária para garantir a máxima polinização de 1 ha da cultura agrícola j</t>
    </r>
  </si>
  <si>
    <r>
      <t>Se não obtiver dados específicos de C</t>
    </r>
    <r>
      <rPr>
        <b/>
        <vertAlign val="subscript"/>
        <sz val="11"/>
        <rFont val="Myriad Pro"/>
        <family val="2"/>
      </rPr>
      <t>vrec</t>
    </r>
    <r>
      <rPr>
        <b/>
        <sz val="11"/>
        <rFont val="Myriad Pro"/>
        <family val="2"/>
      </rPr>
      <t xml:space="preserve">, preencha dados abaixo: </t>
    </r>
  </si>
  <si>
    <r>
      <rPr>
        <b/>
        <i/>
        <sz val="11"/>
        <color theme="1"/>
        <rFont val="Myriad Pro"/>
        <family val="2"/>
      </rPr>
      <t>A</t>
    </r>
    <r>
      <rPr>
        <b/>
        <i/>
        <vertAlign val="subscript"/>
        <sz val="11"/>
        <color theme="1"/>
        <rFont val="Myriad Pro"/>
        <family val="2"/>
      </rPr>
      <t>rec</t>
    </r>
    <r>
      <rPr>
        <b/>
        <i/>
        <sz val="11"/>
        <color theme="1"/>
        <rFont val="Myriad Pro"/>
        <family val="2"/>
      </rPr>
      <t xml:space="preserve"> </t>
    </r>
    <r>
      <rPr>
        <sz val="11"/>
        <color theme="1"/>
        <rFont val="Myriad Pro"/>
        <family val="2"/>
      </rPr>
      <t>= área onde ocorreu recuperação de vegetação. Preencha os dados abaixo:</t>
    </r>
  </si>
  <si>
    <r>
      <t>R</t>
    </r>
    <r>
      <rPr>
        <b/>
        <vertAlign val="subscript"/>
        <sz val="11"/>
        <color rgb="FF1E7EAA"/>
        <rFont val="Myriad Pro"/>
        <family val="2"/>
      </rPr>
      <t>CO2</t>
    </r>
    <r>
      <rPr>
        <b/>
        <sz val="11"/>
        <color rgb="FF1E7EAA"/>
        <rFont val="Myriad Pro"/>
        <family val="2"/>
      </rPr>
      <t xml:space="preserve"> = Remoções permanentes de CO2</t>
    </r>
  </si>
  <si>
    <r>
      <t>E</t>
    </r>
    <r>
      <rPr>
        <b/>
        <i/>
        <vertAlign val="subscript"/>
        <sz val="11"/>
        <color rgb="FF1E7EAA"/>
        <rFont val="Myriad Pro"/>
        <family val="2"/>
      </rPr>
      <t>CO2</t>
    </r>
    <r>
      <rPr>
        <b/>
        <sz val="11"/>
        <color rgb="FF1E7EAA"/>
        <rFont val="Myriad Pro"/>
        <family val="2"/>
      </rPr>
      <t xml:space="preserve"> = Emissões relacionadas à perda de biomassa</t>
    </r>
  </si>
  <si>
    <t>Cálculo Remoções Permanentes de CO2</t>
  </si>
  <si>
    <r>
      <t>tCO</t>
    </r>
    <r>
      <rPr>
        <vertAlign val="subscript"/>
        <sz val="11"/>
        <rFont val="Myriad Pro"/>
        <family val="2"/>
      </rPr>
      <t>2</t>
    </r>
    <r>
      <rPr>
        <sz val="11"/>
        <rFont val="Myriad Pro"/>
        <family val="2"/>
      </rPr>
      <t>e/há</t>
    </r>
  </si>
  <si>
    <r>
      <t>tCO</t>
    </r>
    <r>
      <rPr>
        <b/>
        <vertAlign val="subscript"/>
        <sz val="11"/>
        <rFont val="Myriad Pro"/>
        <family val="2"/>
      </rPr>
      <t>2</t>
    </r>
    <r>
      <rPr>
        <b/>
        <sz val="11"/>
        <rFont val="Myriad Pro"/>
        <family val="2"/>
      </rPr>
      <t>e</t>
    </r>
  </si>
  <si>
    <r>
      <t>Se não obtiver dados específicos de C</t>
    </r>
    <r>
      <rPr>
        <b/>
        <vertAlign val="subscript"/>
        <sz val="11"/>
        <rFont val="Myriad Pro"/>
        <family val="2"/>
      </rPr>
      <t>veg</t>
    </r>
    <r>
      <rPr>
        <b/>
        <sz val="11"/>
        <rFont val="Myriad Pro"/>
        <family val="2"/>
      </rPr>
      <t>, preencha abaixo:</t>
    </r>
  </si>
  <si>
    <r>
      <t>Se não obtiver dados específicos de C</t>
    </r>
    <r>
      <rPr>
        <b/>
        <vertAlign val="subscript"/>
        <sz val="11"/>
        <rFont val="Myriad Pro"/>
        <family val="2"/>
      </rPr>
      <t>pd</t>
    </r>
    <r>
      <rPr>
        <b/>
        <sz val="11"/>
        <rFont val="Myriad Pro"/>
        <family val="2"/>
      </rPr>
      <t>, preencha abaixo:</t>
    </r>
  </si>
  <si>
    <t>Cálculo Desmatamento Evitado</t>
  </si>
  <si>
    <t>Valor (R$)</t>
  </si>
  <si>
    <t>DBc (%)</t>
  </si>
  <si>
    <t>kg/unidade</t>
  </si>
  <si>
    <t>Clique aqui para ver os parâmetros do CONAMA.</t>
  </si>
  <si>
    <t>Preencha com os resultados obtidos para cada parâmetro e/ou cenário avaliado.</t>
  </si>
  <si>
    <t>Para padrões de lançamento de efluentes, clique aqui.</t>
  </si>
  <si>
    <t>Se não tiver dados por tipo de recuperação, preencher área total em Plantio Total.</t>
  </si>
  <si>
    <t>Valor Econômico</t>
  </si>
  <si>
    <t>Cenários</t>
  </si>
  <si>
    <t>Valor financeiro</t>
  </si>
  <si>
    <r>
      <rPr>
        <i/>
        <sz val="11"/>
        <rFont val="Myriad Pro"/>
        <family val="2"/>
      </rPr>
      <t>DPcaj</t>
    </r>
    <r>
      <rPr>
        <sz val="11"/>
        <rFont val="Myriad Pro"/>
        <family val="2"/>
      </rPr>
      <t xml:space="preserve"> = dependência de polinização por abelhas da cultura agrícola j</t>
    </r>
  </si>
  <si>
    <t>REGULAÇÃO DA EROSÃO DO SOLO</t>
  </si>
  <si>
    <t>Distância, em m, entre o início e fim da rampa</t>
  </si>
  <si>
    <t>Diferença, em m, de altitude entre o início e fim da rampa</t>
  </si>
  <si>
    <r>
      <t>A</t>
    </r>
    <r>
      <rPr>
        <i/>
        <vertAlign val="subscript"/>
        <sz val="11"/>
        <color theme="1"/>
        <rFont val="Myriad Pro"/>
        <family val="2"/>
      </rPr>
      <t>a</t>
    </r>
  </si>
  <si>
    <r>
      <t>R</t>
    </r>
    <r>
      <rPr>
        <i/>
        <vertAlign val="subscript"/>
        <sz val="11"/>
        <color theme="1"/>
        <rFont val="Myriad Pro"/>
        <family val="2"/>
      </rPr>
      <t>a</t>
    </r>
  </si>
  <si>
    <r>
      <t>K</t>
    </r>
    <r>
      <rPr>
        <i/>
        <vertAlign val="subscript"/>
        <sz val="11"/>
        <color theme="1"/>
        <rFont val="Myriad Pro"/>
        <family val="2"/>
      </rPr>
      <t>a</t>
    </r>
  </si>
  <si>
    <r>
      <t>LS</t>
    </r>
    <r>
      <rPr>
        <i/>
        <vertAlign val="subscript"/>
        <sz val="11"/>
        <color theme="1"/>
        <rFont val="Myriad Pro"/>
        <family val="2"/>
      </rPr>
      <t>a</t>
    </r>
  </si>
  <si>
    <r>
      <rPr>
        <i/>
        <sz val="11"/>
        <color theme="1"/>
        <rFont val="Myriad Pro"/>
        <family val="2"/>
      </rPr>
      <t>Es</t>
    </r>
    <r>
      <rPr>
        <i/>
        <vertAlign val="subscript"/>
        <sz val="11"/>
        <color theme="1"/>
        <rFont val="Myriad Pro"/>
        <family val="2"/>
      </rPr>
      <t>areamin</t>
    </r>
    <r>
      <rPr>
        <vertAlign val="subscript"/>
        <sz val="11"/>
        <color theme="1"/>
        <rFont val="Myriad Pro"/>
        <family val="2"/>
      </rPr>
      <t xml:space="preserve">  </t>
    </r>
    <r>
      <rPr>
        <sz val="11"/>
        <color theme="1"/>
        <rFont val="Myriad Pro"/>
        <family val="2"/>
      </rPr>
      <t>(t.ano)</t>
    </r>
  </si>
  <si>
    <r>
      <rPr>
        <i/>
        <sz val="11"/>
        <color theme="1"/>
        <rFont val="Myriad Pro"/>
        <family val="2"/>
      </rPr>
      <t>Es</t>
    </r>
    <r>
      <rPr>
        <i/>
        <vertAlign val="subscript"/>
        <sz val="11"/>
        <color theme="1"/>
        <rFont val="Myriad Pro"/>
        <family val="2"/>
      </rPr>
      <t>areamax</t>
    </r>
    <r>
      <rPr>
        <vertAlign val="subscript"/>
        <sz val="11"/>
        <color theme="1"/>
        <rFont val="Myriad Pro"/>
        <family val="2"/>
      </rPr>
      <t xml:space="preserve"> </t>
    </r>
    <r>
      <rPr>
        <sz val="11"/>
        <color theme="1"/>
        <rFont val="Myriad Pro"/>
        <family val="2"/>
      </rPr>
      <t>(t.ano)</t>
    </r>
  </si>
  <si>
    <r>
      <t>CP</t>
    </r>
    <r>
      <rPr>
        <i/>
        <vertAlign val="subscript"/>
        <sz val="11"/>
        <color theme="1"/>
        <rFont val="Calibri"/>
        <family val="2"/>
        <scheme val="minor"/>
      </rPr>
      <t>atual</t>
    </r>
  </si>
  <si>
    <r>
      <t>Es</t>
    </r>
    <r>
      <rPr>
        <vertAlign val="subscript"/>
        <sz val="11"/>
        <color theme="1"/>
        <rFont val="Calibri"/>
        <family val="2"/>
        <scheme val="minor"/>
      </rPr>
      <t xml:space="preserve">areaatual </t>
    </r>
    <r>
      <rPr>
        <sz val="11"/>
        <color theme="1"/>
        <rFont val="Calibri"/>
        <family val="2"/>
        <scheme val="minor"/>
      </rPr>
      <t>(t.ano)</t>
    </r>
  </si>
  <si>
    <t>t/ha.ano</t>
  </si>
  <si>
    <r>
      <rPr>
        <i/>
        <sz val="11"/>
        <color theme="1"/>
        <rFont val="Myriad Pro"/>
        <family val="2"/>
      </rPr>
      <t>Es</t>
    </r>
    <r>
      <rPr>
        <i/>
        <vertAlign val="subscript"/>
        <sz val="11"/>
        <color theme="1"/>
        <rFont val="Myriad Pro"/>
        <family val="2"/>
      </rPr>
      <t>mmin</t>
    </r>
    <r>
      <rPr>
        <vertAlign val="subscript"/>
        <sz val="11"/>
        <color theme="1"/>
        <rFont val="Myriad Pro"/>
        <family val="2"/>
      </rPr>
      <t xml:space="preserve"> </t>
    </r>
    <r>
      <rPr>
        <sz val="11"/>
        <color theme="1"/>
        <rFont val="Myriad Pro"/>
        <family val="2"/>
      </rPr>
      <t>(t.ano)</t>
    </r>
  </si>
  <si>
    <t>1 pd</t>
  </si>
  <si>
    <t>2 pc</t>
  </si>
  <si>
    <t>3 vn</t>
  </si>
  <si>
    <t>4 ai</t>
  </si>
  <si>
    <t>Cpatual</t>
  </si>
  <si>
    <r>
      <rPr>
        <i/>
        <sz val="11"/>
        <color theme="1"/>
        <rFont val="Myriad Pro"/>
        <family val="2"/>
      </rPr>
      <t>Es</t>
    </r>
    <r>
      <rPr>
        <i/>
        <vertAlign val="subscript"/>
        <sz val="11"/>
        <color theme="1"/>
        <rFont val="Myriad Pro"/>
        <family val="2"/>
      </rPr>
      <t>matual</t>
    </r>
    <r>
      <rPr>
        <vertAlign val="subscript"/>
        <sz val="11"/>
        <color theme="1"/>
        <rFont val="Myriad Pro"/>
        <family val="2"/>
      </rPr>
      <t xml:space="preserve"> </t>
    </r>
    <r>
      <rPr>
        <sz val="11"/>
        <color theme="1"/>
        <rFont val="Myriad Pro"/>
        <family val="2"/>
      </rPr>
      <t>(t.ano)</t>
    </r>
  </si>
  <si>
    <t>Cpmin</t>
  </si>
  <si>
    <r>
      <rPr>
        <i/>
        <sz val="11"/>
        <color theme="1"/>
        <rFont val="Myriad Pro"/>
        <family val="2"/>
      </rPr>
      <t>Es</t>
    </r>
    <r>
      <rPr>
        <i/>
        <vertAlign val="subscript"/>
        <sz val="11"/>
        <color theme="1"/>
        <rFont val="Myriad Pro"/>
        <family val="2"/>
      </rPr>
      <t>areaatual</t>
    </r>
    <r>
      <rPr>
        <vertAlign val="subscript"/>
        <sz val="11"/>
        <color theme="1"/>
        <rFont val="Myriad Pro"/>
        <family val="2"/>
      </rPr>
      <t xml:space="preserve"> </t>
    </r>
    <r>
      <rPr>
        <sz val="11"/>
        <color theme="1"/>
        <rFont val="Myriad Pro"/>
        <family val="2"/>
      </rPr>
      <t>(t.ano)</t>
    </r>
  </si>
  <si>
    <r>
      <rPr>
        <i/>
        <sz val="11"/>
        <color theme="1"/>
        <rFont val="Myriad Pro"/>
        <family val="2"/>
      </rPr>
      <t>Es</t>
    </r>
    <r>
      <rPr>
        <i/>
        <vertAlign val="subscript"/>
        <sz val="11"/>
        <color theme="1"/>
        <rFont val="Myriad Pro"/>
        <family val="2"/>
      </rPr>
      <t>areamin</t>
    </r>
    <r>
      <rPr>
        <vertAlign val="subscript"/>
        <sz val="11"/>
        <color theme="1"/>
        <rFont val="Myriad Pro"/>
        <family val="2"/>
      </rPr>
      <t xml:space="preserve"> </t>
    </r>
    <r>
      <rPr>
        <sz val="11"/>
        <color theme="1"/>
        <rFont val="Myriad Pro"/>
        <family val="2"/>
      </rPr>
      <t>(t.ano)</t>
    </r>
  </si>
  <si>
    <r>
      <t>CP</t>
    </r>
    <r>
      <rPr>
        <i/>
        <vertAlign val="subscript"/>
        <sz val="11"/>
        <rFont val="Myriad Pro"/>
        <family val="2"/>
      </rPr>
      <t>max</t>
    </r>
  </si>
  <si>
    <r>
      <t>CP</t>
    </r>
    <r>
      <rPr>
        <i/>
        <vertAlign val="subscript"/>
        <sz val="11"/>
        <rFont val="Myriad Pro"/>
        <family val="2"/>
      </rPr>
      <t>min</t>
    </r>
  </si>
  <si>
    <r>
      <rPr>
        <b/>
        <i/>
        <sz val="11"/>
        <rFont val="Myriad Pro"/>
        <family val="2"/>
      </rPr>
      <t>$N</t>
    </r>
    <r>
      <rPr>
        <b/>
        <i/>
        <vertAlign val="subscript"/>
        <sz val="11"/>
        <rFont val="Myriad Pro"/>
        <family val="2"/>
      </rPr>
      <t>s</t>
    </r>
    <r>
      <rPr>
        <b/>
        <sz val="11"/>
        <rFont val="Myriad Pro"/>
        <family val="2"/>
      </rPr>
      <t xml:space="preserve"> </t>
    </r>
    <r>
      <rPr>
        <sz val="11"/>
        <rFont val="Myriad Pro"/>
        <family val="2"/>
      </rPr>
      <t>= custo dos nutrientes do solo</t>
    </r>
  </si>
  <si>
    <r>
      <rPr>
        <b/>
        <sz val="11"/>
        <color theme="1"/>
        <rFont val="Myriad Pro"/>
        <family val="2"/>
      </rPr>
      <t>$</t>
    </r>
    <r>
      <rPr>
        <b/>
        <i/>
        <sz val="11"/>
        <color theme="1"/>
        <rFont val="Myriad Pro"/>
        <family val="2"/>
      </rPr>
      <t>log</t>
    </r>
    <r>
      <rPr>
        <sz val="11"/>
        <color theme="1"/>
        <rFont val="Myriad Pro"/>
        <family val="2"/>
      </rPr>
      <t xml:space="preserve"> = custos com logística para a aplicação dos nutrientes no solo</t>
    </r>
  </si>
  <si>
    <r>
      <rPr>
        <b/>
        <sz val="11"/>
        <color theme="1"/>
        <rFont val="Myriad Pro"/>
        <family val="2"/>
      </rPr>
      <t>Es</t>
    </r>
    <r>
      <rPr>
        <b/>
        <vertAlign val="subscript"/>
        <sz val="11"/>
        <color theme="1"/>
        <rFont val="Myriad Pro"/>
        <family val="2"/>
      </rPr>
      <t xml:space="preserve">areamin </t>
    </r>
    <r>
      <rPr>
        <sz val="11"/>
        <color theme="1"/>
        <rFont val="Myriad Pro"/>
        <family val="2"/>
      </rPr>
      <t xml:space="preserve">= Erosão do solo em condição de solo coberto por vegetação nativa </t>
    </r>
  </si>
  <si>
    <r>
      <rPr>
        <b/>
        <sz val="11"/>
        <color theme="1"/>
        <rFont val="Myriad Pro"/>
        <family val="2"/>
      </rPr>
      <t>Es</t>
    </r>
    <r>
      <rPr>
        <b/>
        <vertAlign val="subscript"/>
        <sz val="11"/>
        <color theme="1"/>
        <rFont val="Myriad Pro"/>
        <family val="2"/>
      </rPr>
      <t xml:space="preserve">areamax </t>
    </r>
    <r>
      <rPr>
        <sz val="11"/>
        <color theme="1"/>
        <rFont val="Myriad Pro"/>
        <family val="2"/>
      </rPr>
      <t>=</t>
    </r>
    <r>
      <rPr>
        <vertAlign val="subscript"/>
        <sz val="11"/>
        <color theme="1"/>
        <rFont val="Myriad Pro"/>
        <family val="2"/>
      </rPr>
      <t xml:space="preserve"> </t>
    </r>
    <r>
      <rPr>
        <sz val="11"/>
        <color theme="1"/>
        <rFont val="Myriad Pro"/>
        <family val="2"/>
      </rPr>
      <t>Erosão do solo em condição de solo exposto</t>
    </r>
  </si>
  <si>
    <t>Calcule LS a partir de um mapa de altitude, usando os campos abaixo:</t>
  </si>
  <si>
    <t xml:space="preserve">A área analisada (a montante das áreas relevantes para a empresa para dependência e impacto; e áreas relevantes para a empresa em externalidade) deve ser subdividida em quantos módulos forem necessários (considerando-se módulos nos quais as variáveis que compõe a EUPS se distribuam de forma homogênea). Nesta ferramenta existem campos para até 6 módulos; caso exista um número maior de módulos será necessário acrescentar linhas nas tabelas, copiando-se a fórmula de Es da linha superior. </t>
  </si>
  <si>
    <r>
      <rPr>
        <b/>
        <sz val="11"/>
        <color theme="1"/>
        <rFont val="Myriad Pro"/>
        <family val="2"/>
      </rPr>
      <t>Es</t>
    </r>
    <r>
      <rPr>
        <b/>
        <vertAlign val="subscript"/>
        <sz val="11"/>
        <color theme="1"/>
        <rFont val="Myriad Pro"/>
        <family val="2"/>
      </rPr>
      <t xml:space="preserve">mmax </t>
    </r>
    <r>
      <rPr>
        <sz val="11"/>
        <color theme="1"/>
        <rFont val="Myriad Pro"/>
        <family val="2"/>
      </rPr>
      <t>= erosão do solo na condição de solo exposto à montante</t>
    </r>
  </si>
  <si>
    <r>
      <rPr>
        <b/>
        <sz val="11"/>
        <color theme="1"/>
        <rFont val="Myriad Pro"/>
        <family val="2"/>
      </rPr>
      <t>Es</t>
    </r>
    <r>
      <rPr>
        <b/>
        <vertAlign val="subscript"/>
        <sz val="11"/>
        <color theme="1"/>
        <rFont val="Myriad Pro"/>
        <family val="2"/>
      </rPr>
      <t xml:space="preserve">mmin </t>
    </r>
    <r>
      <rPr>
        <sz val="11"/>
        <color theme="1"/>
        <rFont val="Myriad Pro"/>
        <family val="2"/>
      </rPr>
      <t>= erosão do solo na condição de solo coberto por vegetação nativa original da região nas áreas à montante</t>
    </r>
  </si>
  <si>
    <r>
      <rPr>
        <b/>
        <sz val="11"/>
        <color theme="1"/>
        <rFont val="Myriad Pro"/>
        <family val="2"/>
      </rPr>
      <t>Es</t>
    </r>
    <r>
      <rPr>
        <b/>
        <vertAlign val="subscript"/>
        <sz val="11"/>
        <color theme="1"/>
        <rFont val="Myriad Pro"/>
        <family val="2"/>
      </rPr>
      <t xml:space="preserve">areaatual </t>
    </r>
    <r>
      <rPr>
        <sz val="11"/>
        <color theme="1"/>
        <rFont val="Myriad Pro"/>
        <family val="2"/>
      </rPr>
      <t>= erosão do solo na condição de usos do solo atuais nas áreas da empresa</t>
    </r>
  </si>
  <si>
    <r>
      <rPr>
        <b/>
        <sz val="11"/>
        <color theme="1"/>
        <rFont val="Myriad Pro"/>
        <family val="2"/>
      </rPr>
      <t>Es</t>
    </r>
    <r>
      <rPr>
        <b/>
        <vertAlign val="subscript"/>
        <sz val="11"/>
        <color theme="1"/>
        <rFont val="Myriad Pro"/>
        <family val="2"/>
      </rPr>
      <t xml:space="preserve">areamin </t>
    </r>
    <r>
      <rPr>
        <sz val="11"/>
        <color theme="1"/>
        <rFont val="Myriad Pro"/>
        <family val="2"/>
      </rPr>
      <t>= erosão do solo na condição de solo coberto por vegetação nativa original da região nas áreas da empresa</t>
    </r>
  </si>
  <si>
    <t>Fator de erosividade da chuva, R, para diferentes localidades, em MJ mm/ha h ano</t>
  </si>
  <si>
    <r>
      <t xml:space="preserve">Fator de erodibilidade do solo, </t>
    </r>
    <r>
      <rPr>
        <b/>
        <i/>
        <sz val="11"/>
        <color rgb="FF003978"/>
        <rFont val="Myriad Pro"/>
        <family val="2"/>
      </rPr>
      <t>K</t>
    </r>
    <r>
      <rPr>
        <b/>
        <sz val="11"/>
        <color rgb="FF003978"/>
        <rFont val="Myriad Pro"/>
        <family val="2"/>
      </rPr>
      <t>, obtidos em São Paulo, em t.ha.h/ha.MJ.mm</t>
    </r>
  </si>
  <si>
    <r>
      <t xml:space="preserve">Fator </t>
    </r>
    <r>
      <rPr>
        <b/>
        <i/>
        <sz val="11"/>
        <color rgb="FF003978"/>
        <rFont val="Myriad Pro"/>
        <family val="2"/>
      </rPr>
      <t>CP</t>
    </r>
    <r>
      <rPr>
        <b/>
        <sz val="11"/>
        <color rgb="FF003978"/>
        <rFont val="Myriad Pro"/>
        <family val="2"/>
      </rPr>
      <t xml:space="preserve"> para diferentes usos de solo</t>
    </r>
  </si>
  <si>
    <t>APOIO EROSÃO DO SOLO</t>
  </si>
  <si>
    <t>Ver Planilha "Apoio_Erosão" para fatores default de R, K e CP</t>
  </si>
  <si>
    <t>Data</t>
  </si>
  <si>
    <t xml:space="preserve">Cenários </t>
  </si>
  <si>
    <t>IBc</t>
  </si>
  <si>
    <r>
      <t>EBc</t>
    </r>
    <r>
      <rPr>
        <b/>
        <vertAlign val="subscript"/>
        <sz val="12"/>
        <color theme="1"/>
        <rFont val="Myriad Pro"/>
        <family val="2"/>
      </rPr>
      <t>af</t>
    </r>
    <r>
      <rPr>
        <b/>
        <sz val="12"/>
        <color theme="1"/>
        <rFont val="Myriad Pro"/>
        <family val="2"/>
      </rPr>
      <t xml:space="preserve"> (tCO</t>
    </r>
    <r>
      <rPr>
        <b/>
        <vertAlign val="subscript"/>
        <sz val="12"/>
        <color theme="1"/>
        <rFont val="Myriad Pro"/>
        <family val="2"/>
      </rPr>
      <t>2</t>
    </r>
    <r>
      <rPr>
        <b/>
        <sz val="12"/>
        <color theme="1"/>
        <rFont val="Myriad Pro"/>
        <family val="2"/>
      </rPr>
      <t>e)</t>
    </r>
  </si>
  <si>
    <t>Coliformes termotolerantes por 100 mililitros em 80% ou mais de pelo menos 6 amostras coletadas durante o período de um ano, com periodicidade bimestral</t>
  </si>
  <si>
    <t>mg/L Ba</t>
  </si>
  <si>
    <t>Valores (R$)</t>
  </si>
  <si>
    <t>até 40 UNT</t>
  </si>
  <si>
    <r>
      <rPr>
        <u/>
        <sz val="11"/>
        <color theme="1"/>
        <rFont val="Myriad Pro"/>
        <family val="2"/>
      </rPr>
      <t>Fonte:</t>
    </r>
    <r>
      <rPr>
        <sz val="11"/>
        <color theme="1"/>
        <rFont val="Myriad Pro"/>
        <family val="2"/>
      </rPr>
      <t xml:space="preserve"> Segundo Inventário Brasileiro de Emissões e Remoções Antrópicas de Gases de Efeito Estufa</t>
    </r>
  </si>
  <si>
    <t>APOIO POLINIZAÇÃO</t>
  </si>
  <si>
    <t xml:space="preserve">A área analisada deve ser subdividida em quantos módulos forem necessários (considerando-se módulos nos quais as variáveis que compõe a EUPS se distribuam de forma homogênea). Nesta ferramenta existem campos para até 6 módulos; caso exista um número maior de módulos será necessário acrescentar linhas nas tabelas, copiando-se a fórmula de Es da linha superior.  </t>
  </si>
  <si>
    <t>Ver Planilha "Apoio_Regulação da Erosão" para fatores default de R, K e CP</t>
  </si>
  <si>
    <r>
      <t>Liste aqui apenas as espécies de abelhas diagnosticadas em campo. Insira os dados coletados em campo sobre abundância dos polinizadores (Ap</t>
    </r>
    <r>
      <rPr>
        <vertAlign val="subscript"/>
        <sz val="11"/>
        <color theme="1"/>
        <rFont val="Myriad Pro"/>
        <family val="2"/>
      </rPr>
      <t>m</t>
    </r>
    <r>
      <rPr>
        <sz val="11"/>
        <color theme="1"/>
        <rFont val="Myriad Pro"/>
        <family val="2"/>
      </rPr>
      <t>)</t>
    </r>
  </si>
  <si>
    <r>
      <t>N</t>
    </r>
    <r>
      <rPr>
        <i/>
        <vertAlign val="subscript"/>
        <sz val="11"/>
        <rFont val="Myriad Pro"/>
        <family val="2"/>
      </rPr>
      <t>s</t>
    </r>
    <r>
      <rPr>
        <i/>
        <sz val="11"/>
        <rFont val="Myriad Pro"/>
        <family val="2"/>
      </rPr>
      <t xml:space="preserve"> </t>
    </r>
    <r>
      <rPr>
        <sz val="11"/>
        <rFont val="Myriad Pro"/>
        <family val="2"/>
      </rPr>
      <t>= concentração de nutrientes do solo</t>
    </r>
  </si>
  <si>
    <r>
      <t>Pc</t>
    </r>
    <r>
      <rPr>
        <vertAlign val="subscript"/>
        <sz val="11"/>
        <rFont val="Myriad Pro"/>
        <family val="2"/>
      </rPr>
      <t xml:space="preserve">max </t>
    </r>
    <r>
      <rPr>
        <sz val="11"/>
        <rFont val="Myriad Pro"/>
        <family val="2"/>
      </rPr>
      <t>= concentração máxima do poluente no corpo d’água por m</t>
    </r>
    <r>
      <rPr>
        <vertAlign val="superscript"/>
        <sz val="11"/>
        <rFont val="Myriad Pro"/>
        <family val="2"/>
      </rPr>
      <t>3</t>
    </r>
    <r>
      <rPr>
        <sz val="11"/>
        <rFont val="Myriad Pro"/>
        <family val="2"/>
      </rPr>
      <t xml:space="preserve"> de água, que garanta que não haverá alteração significativa da qualidade da água; </t>
    </r>
  </si>
  <si>
    <t>ton/unidade</t>
  </si>
  <si>
    <t>Adimensional</t>
  </si>
  <si>
    <t>Biogás</t>
  </si>
  <si>
    <t>kgCO2eq/unidade</t>
  </si>
  <si>
    <r>
      <rPr>
        <b/>
        <i/>
        <sz val="11"/>
        <color theme="1"/>
        <rFont val="Myriad Pro"/>
        <family val="2"/>
      </rPr>
      <t>Nv</t>
    </r>
    <r>
      <rPr>
        <b/>
        <sz val="11"/>
        <color theme="1"/>
        <rFont val="Myriad Pro"/>
        <family val="2"/>
      </rPr>
      <t xml:space="preserve"> </t>
    </r>
    <r>
      <rPr>
        <sz val="11"/>
        <color theme="1"/>
        <rFont val="Myriad Pro"/>
        <family val="2"/>
      </rPr>
      <t>= número de visitantes que a área recebe</t>
    </r>
  </si>
  <si>
    <r>
      <rPr>
        <b/>
        <i/>
        <sz val="11"/>
        <rFont val="Myriad Pro"/>
        <family val="2"/>
      </rPr>
      <t>P</t>
    </r>
    <r>
      <rPr>
        <sz val="11"/>
        <rFont val="Myriad Pro"/>
        <family val="2"/>
      </rPr>
      <t xml:space="preserve"> = período considerado na contabilização de visitantes</t>
    </r>
  </si>
  <si>
    <r>
      <rPr>
        <b/>
        <i/>
        <sz val="11"/>
        <color theme="1"/>
        <rFont val="Myriad Pro"/>
        <family val="2"/>
      </rPr>
      <t>A</t>
    </r>
    <r>
      <rPr>
        <b/>
        <i/>
        <vertAlign val="subscript"/>
        <sz val="11"/>
        <color theme="1"/>
        <rFont val="Myriad Pro"/>
        <family val="2"/>
      </rPr>
      <t>t</t>
    </r>
    <r>
      <rPr>
        <b/>
        <sz val="11"/>
        <color theme="1"/>
        <rFont val="Myriad Pro"/>
        <family val="2"/>
      </rPr>
      <t xml:space="preserve"> </t>
    </r>
    <r>
      <rPr>
        <sz val="11"/>
        <color theme="1"/>
        <rFont val="Myriad Pro"/>
        <family val="2"/>
      </rPr>
      <t>= área total conservada pela empresa</t>
    </r>
  </si>
  <si>
    <r>
      <rPr>
        <b/>
        <i/>
        <sz val="11"/>
        <rFont val="Myriad Pro"/>
        <family val="2"/>
      </rPr>
      <t>Ai</t>
    </r>
    <r>
      <rPr>
        <b/>
        <i/>
        <vertAlign val="subscript"/>
        <sz val="11"/>
        <rFont val="Myriad Pro"/>
        <family val="2"/>
      </rPr>
      <t>ae</t>
    </r>
    <r>
      <rPr>
        <b/>
        <sz val="11"/>
        <rFont val="Myriad Pro"/>
        <family val="2"/>
      </rPr>
      <t xml:space="preserve"> </t>
    </r>
    <r>
      <rPr>
        <sz val="11"/>
        <rFont val="Myriad Pro"/>
        <family val="2"/>
      </rPr>
      <t>= parcela da área conservada pela empresa, mas indisponível para uso econômico alternativo</t>
    </r>
  </si>
  <si>
    <r>
      <rPr>
        <b/>
        <i/>
        <sz val="11"/>
        <color theme="1"/>
        <rFont val="Myriad Pro"/>
        <family val="2"/>
      </rPr>
      <t>$RDv</t>
    </r>
    <r>
      <rPr>
        <b/>
        <sz val="11"/>
        <color theme="1"/>
        <rFont val="Myriad Pro"/>
        <family val="2"/>
      </rPr>
      <t xml:space="preserve"> </t>
    </r>
    <r>
      <rPr>
        <sz val="11"/>
        <color theme="1"/>
        <rFont val="Myriad Pro"/>
        <family val="2"/>
      </rPr>
      <t>= receitas diversas decorrentes da exploração do turismo</t>
    </r>
  </si>
  <si>
    <r>
      <rPr>
        <b/>
        <i/>
        <sz val="11"/>
        <color theme="1"/>
        <rFont val="Myriad Pro"/>
        <family val="2"/>
      </rPr>
      <t>$Rae</t>
    </r>
    <r>
      <rPr>
        <b/>
        <i/>
        <vertAlign val="subscript"/>
        <sz val="11"/>
        <color theme="1"/>
        <rFont val="Myriad Pro"/>
        <family val="2"/>
      </rPr>
      <t>alt</t>
    </r>
    <r>
      <rPr>
        <i/>
        <sz val="11"/>
        <color theme="1"/>
        <rFont val="Myriad Pro"/>
        <family val="2"/>
      </rPr>
      <t xml:space="preserve"> = </t>
    </r>
    <r>
      <rPr>
        <sz val="11"/>
        <color theme="1"/>
        <rFont val="Myriad Pro"/>
        <family val="2"/>
      </rPr>
      <t>receitas da atividade econômica alternativa</t>
    </r>
  </si>
  <si>
    <r>
      <rPr>
        <b/>
        <i/>
        <sz val="11"/>
        <color theme="1"/>
        <rFont val="Myriad Pro"/>
        <family val="2"/>
      </rPr>
      <t>$T</t>
    </r>
    <r>
      <rPr>
        <b/>
        <i/>
        <vertAlign val="subscript"/>
        <sz val="11"/>
        <color theme="1"/>
        <rFont val="Myriad Pro"/>
        <family val="2"/>
      </rPr>
      <t>i</t>
    </r>
    <r>
      <rPr>
        <sz val="11"/>
        <color theme="1"/>
        <rFont val="Myriad Pro"/>
        <family val="2"/>
      </rPr>
      <t xml:space="preserve"> = taxa de ingresso ou similares</t>
    </r>
  </si>
  <si>
    <r>
      <rPr>
        <b/>
        <i/>
        <sz val="11"/>
        <color theme="1"/>
        <rFont val="Myriad Pro"/>
        <family val="2"/>
      </rPr>
      <t>$cd</t>
    </r>
    <r>
      <rPr>
        <b/>
        <i/>
        <vertAlign val="subscript"/>
        <sz val="11"/>
        <color theme="1"/>
        <rFont val="Myriad Pro"/>
        <family val="2"/>
      </rPr>
      <t>i</t>
    </r>
    <r>
      <rPr>
        <b/>
        <sz val="11"/>
        <color theme="1"/>
        <rFont val="Myriad Pro"/>
        <family val="2"/>
      </rPr>
      <t xml:space="preserve"> </t>
    </r>
    <r>
      <rPr>
        <sz val="11"/>
        <color theme="1"/>
        <rFont val="Myriad Pro"/>
        <family val="2"/>
      </rPr>
      <t>= custos médio de deslocamento individual para uma área visitada</t>
    </r>
  </si>
  <si>
    <r>
      <rPr>
        <b/>
        <i/>
        <sz val="11"/>
        <color theme="1"/>
        <rFont val="Myriad Pro"/>
        <family val="2"/>
      </rPr>
      <t>$cae</t>
    </r>
    <r>
      <rPr>
        <b/>
        <i/>
        <vertAlign val="subscript"/>
        <sz val="11"/>
        <color theme="1"/>
        <rFont val="Myriad Pro"/>
        <family val="2"/>
      </rPr>
      <t>i</t>
    </r>
    <r>
      <rPr>
        <sz val="11"/>
        <color theme="1"/>
        <rFont val="Myriad Pro"/>
        <family val="2"/>
      </rPr>
      <t xml:space="preserve"> = custos médios individuais com alimentação e estadia durante a viagem</t>
    </r>
  </si>
  <si>
    <t>Lista Suspensa</t>
  </si>
  <si>
    <t>Provisão de Água</t>
  </si>
  <si>
    <t xml:space="preserve">Biomassa utilizada atualmente não listada anteriormente: </t>
  </si>
  <si>
    <r>
      <rPr>
        <b/>
        <sz val="11"/>
        <rFont val="Myriad Pro"/>
        <family val="2"/>
      </rPr>
      <t>Pc</t>
    </r>
    <r>
      <rPr>
        <b/>
        <vertAlign val="subscript"/>
        <sz val="11"/>
        <rFont val="Myriad Pro"/>
        <family val="2"/>
      </rPr>
      <t>alt</t>
    </r>
    <r>
      <rPr>
        <sz val="11"/>
        <rFont val="Myriad Pro"/>
        <family val="2"/>
      </rPr>
      <t xml:space="preserve"> = potencial calorífico da alternativa energética</t>
    </r>
  </si>
  <si>
    <t>Quantidade da alternativa mais custo-eficaz calculada automaticamente</t>
  </si>
  <si>
    <t>mm3/L</t>
  </si>
  <si>
    <t>mg/L Be</t>
  </si>
  <si>
    <t>mg/L B</t>
  </si>
  <si>
    <t>mg/L Cd</t>
  </si>
  <si>
    <t>mg/L Pb</t>
  </si>
  <si>
    <t>mg/L CN</t>
  </si>
  <si>
    <t>mg/L Co</t>
  </si>
  <si>
    <t>mg/L Cu</t>
  </si>
  <si>
    <t>mg/L Cr</t>
  </si>
  <si>
    <t>mg/L Fe</t>
  </si>
  <si>
    <t>mg/L P</t>
  </si>
  <si>
    <t>mg/L Li</t>
  </si>
  <si>
    <t>mg/L Mn</t>
  </si>
  <si>
    <t>mg/L Hg</t>
  </si>
  <si>
    <t>mg/L Ni</t>
  </si>
  <si>
    <t>mg/L N</t>
  </si>
  <si>
    <t>mg/L Ag</t>
  </si>
  <si>
    <t>mg/L Se</t>
  </si>
  <si>
    <t>mg/L SO4</t>
  </si>
  <si>
    <t>mg/L S</t>
  </si>
  <si>
    <t>mg/L U</t>
  </si>
  <si>
    <t>mg/L V</t>
  </si>
  <si>
    <t>mg/L Zn</t>
  </si>
  <si>
    <t>mg/L C6H5OH</t>
  </si>
  <si>
    <t>mg/L LAS</t>
  </si>
  <si>
    <t>μg/L TBT</t>
  </si>
  <si>
    <t>μg/L As</t>
  </si>
  <si>
    <r>
      <rPr>
        <b/>
        <sz val="11"/>
        <rFont val="Myriad Pro"/>
        <family val="2"/>
      </rPr>
      <t>Pc</t>
    </r>
    <r>
      <rPr>
        <b/>
        <vertAlign val="subscript"/>
        <sz val="11"/>
        <rFont val="Myriad Pro"/>
        <family val="2"/>
      </rPr>
      <t>b</t>
    </r>
    <r>
      <rPr>
        <b/>
        <sz val="11"/>
        <rFont val="Myriad Pro"/>
        <family val="2"/>
      </rPr>
      <t xml:space="preserve"> </t>
    </r>
    <r>
      <rPr>
        <sz val="11"/>
        <rFont val="Myriad Pro"/>
        <family val="2"/>
      </rPr>
      <t>= potencial calorífico da biomassa</t>
    </r>
  </si>
  <si>
    <t>ºC</t>
  </si>
  <si>
    <t>mL/L</t>
  </si>
  <si>
    <t>mg/L As</t>
  </si>
  <si>
    <t>mg/L Cr+6</t>
  </si>
  <si>
    <t>mg/L Cr+3</t>
  </si>
  <si>
    <t>mg/L Sn</t>
  </si>
  <si>
    <t>mg/L F</t>
  </si>
  <si>
    <t>mg/L C2H5OH</t>
  </si>
  <si>
    <t>Fator  de comprimento de rampa, LS, para várias combinações de grau de declividade e comprimento de rampa</t>
  </si>
  <si>
    <t>Comprimento de rampa (m)</t>
  </si>
  <si>
    <t>Declive %</t>
  </si>
  <si>
    <t>Fonte: Bertoni e Lombardi Neto (2008)</t>
  </si>
  <si>
    <t>Veja a tabela de LS ou calcule abaixo.</t>
  </si>
  <si>
    <r>
      <rPr>
        <i/>
        <sz val="11"/>
        <rFont val="Myriad Pro"/>
        <family val="2"/>
      </rPr>
      <t>Es</t>
    </r>
    <r>
      <rPr>
        <i/>
        <vertAlign val="subscript"/>
        <sz val="11"/>
        <rFont val="Myriad Pro"/>
        <family val="2"/>
      </rPr>
      <t>mmax</t>
    </r>
    <r>
      <rPr>
        <vertAlign val="subscript"/>
        <sz val="11"/>
        <rFont val="Myriad Pro"/>
        <family val="2"/>
      </rPr>
      <t xml:space="preserve"> </t>
    </r>
    <r>
      <rPr>
        <sz val="11"/>
        <rFont val="Myriad Pro"/>
        <family val="2"/>
      </rPr>
      <t>(t.ano)</t>
    </r>
  </si>
  <si>
    <r>
      <rPr>
        <b/>
        <i/>
        <sz val="11"/>
        <rFont val="Myriad Pro"/>
        <family val="2"/>
      </rPr>
      <t>$N</t>
    </r>
    <r>
      <rPr>
        <b/>
        <i/>
        <vertAlign val="subscript"/>
        <sz val="11"/>
        <rFont val="Myriad Pro"/>
        <family val="2"/>
      </rPr>
      <t>s</t>
    </r>
    <r>
      <rPr>
        <sz val="11"/>
        <rFont val="Myriad Pro"/>
        <family val="2"/>
      </rPr>
      <t xml:space="preserve"> = custo dos nutrientes do solo</t>
    </r>
  </si>
  <si>
    <t>Ex.: Artesanatos</t>
  </si>
  <si>
    <t>Outros custos na comunidade de entorno (média por pessoa)</t>
  </si>
  <si>
    <t>GJ/ton</t>
  </si>
  <si>
    <r>
      <t>R</t>
    </r>
    <r>
      <rPr>
        <b/>
        <vertAlign val="subscript"/>
        <sz val="11"/>
        <rFont val="Myriad Pro"/>
        <family val="2"/>
      </rPr>
      <t>CO2</t>
    </r>
    <r>
      <rPr>
        <b/>
        <sz val="11"/>
        <rFont val="Myriad Pro"/>
        <family val="2"/>
      </rPr>
      <t xml:space="preserve"> = Remoções permanentes de CO2 (pesando os diferentes tipos de restauração)</t>
    </r>
  </si>
  <si>
    <r>
      <t>Pc = concentração do poluente por m</t>
    </r>
    <r>
      <rPr>
        <vertAlign val="superscript"/>
        <sz val="11"/>
        <color theme="1"/>
        <rFont val="Myriad Pro"/>
        <family val="2"/>
      </rPr>
      <t>3</t>
    </r>
    <r>
      <rPr>
        <sz val="11"/>
        <color theme="1"/>
        <rFont val="Myriad Pro"/>
        <family val="2"/>
      </rPr>
      <t xml:space="preserve"> de efluente bruto (não tratado)</t>
    </r>
  </si>
  <si>
    <t>Na mesma unidade utilizada em Pcmax</t>
  </si>
  <si>
    <t xml:space="preserve">Parâmetro avaliado não listado anteriormente: </t>
  </si>
  <si>
    <r>
      <rPr>
        <b/>
        <i/>
        <sz val="11"/>
        <rFont val="Myriad Pro"/>
        <family val="2"/>
      </rPr>
      <t>C</t>
    </r>
    <r>
      <rPr>
        <b/>
        <i/>
        <vertAlign val="subscript"/>
        <sz val="11"/>
        <rFont val="Myriad Pro"/>
        <family val="2"/>
      </rPr>
      <t>Vrem</t>
    </r>
    <r>
      <rPr>
        <i/>
        <sz val="11"/>
        <rFont val="Myriad Pro"/>
        <family val="2"/>
      </rPr>
      <t xml:space="preserve"> = </t>
    </r>
    <r>
      <rPr>
        <sz val="11"/>
        <rFont val="Myriad Pro"/>
        <family val="2"/>
      </rPr>
      <t>Estoque de carbono contido na biomassa da vegetação removida, podendo incluir o carbono acima e abaixo do solo</t>
    </r>
  </si>
  <si>
    <t>Bioma da vegetação removida</t>
  </si>
  <si>
    <t>Fitofisionomia predominante da vegetação removida</t>
  </si>
  <si>
    <t>Estoque médio de carbono antes da implantação do projeto:</t>
  </si>
  <si>
    <t>Estoque médio na área antes da intervenção:</t>
  </si>
  <si>
    <t>Desconto pela qualidade de implantação do projeto:</t>
  </si>
  <si>
    <t>Volume médio de carbono capturado por hectare pelo projeto:</t>
  </si>
  <si>
    <t>Conversão de unidades para Ns</t>
  </si>
  <si>
    <t>Fonte: Embrapa (2000)</t>
  </si>
  <si>
    <r>
      <t>mg/dm</t>
    </r>
    <r>
      <rPr>
        <vertAlign val="superscript"/>
        <sz val="11"/>
        <rFont val="Myriad Pro"/>
        <family val="2"/>
      </rPr>
      <t>3</t>
    </r>
  </si>
  <si>
    <r>
      <t>mmol/dm</t>
    </r>
    <r>
      <rPr>
        <vertAlign val="superscript"/>
        <sz val="11"/>
        <rFont val="Myriad Pro"/>
        <family val="2"/>
      </rPr>
      <t>3</t>
    </r>
  </si>
  <si>
    <t>Células a serem preenchidas pelo usuário com os dados da organização</t>
  </si>
  <si>
    <r>
      <t xml:space="preserve">* Tendo como base colônias de </t>
    </r>
    <r>
      <rPr>
        <i/>
        <sz val="11"/>
        <color theme="1"/>
        <rFont val="Myriad Pro"/>
        <family val="2"/>
      </rPr>
      <t>Apis mellifera</t>
    </r>
    <r>
      <rPr>
        <sz val="11"/>
        <color theme="1"/>
        <rFont val="Myriad Pro"/>
        <family val="2"/>
      </rPr>
      <t xml:space="preserve"> com 50.000 indivíduos</t>
    </r>
  </si>
  <si>
    <r>
      <t xml:space="preserve">In: </t>
    </r>
    <r>
      <rPr>
        <i/>
        <sz val="11"/>
        <color theme="1"/>
        <rFont val="Myriad Pro"/>
        <family val="2"/>
      </rPr>
      <t>Non forest products</t>
    </r>
    <r>
      <rPr>
        <sz val="11"/>
        <color theme="1"/>
        <rFont val="Myriad Pro"/>
        <family val="2"/>
      </rPr>
      <t xml:space="preserve"> 19. FAO</t>
    </r>
  </si>
  <si>
    <r>
      <t xml:space="preserve">Usos de solo, sua descrição e respectivos </t>
    </r>
    <r>
      <rPr>
        <b/>
        <i/>
        <sz val="11"/>
        <color rgb="FF003978"/>
        <rFont val="Myriad Pro"/>
        <family val="2"/>
      </rPr>
      <t>LLI</t>
    </r>
    <r>
      <rPr>
        <b/>
        <sz val="11"/>
        <color rgb="FF003978"/>
        <rFont val="Myriad Pro"/>
        <family val="2"/>
      </rPr>
      <t xml:space="preserve"> médios</t>
    </r>
  </si>
  <si>
    <t>Áreas dominadas por vegetação herbácea, em especial gramíneas, sem manejo intensivo, como gradagem ou arar. Considerar aqui a fitofisionomia de cerrado campo limpo</t>
  </si>
  <si>
    <r>
      <t>C</t>
    </r>
    <r>
      <rPr>
        <b/>
        <vertAlign val="subscript"/>
        <sz val="11"/>
        <rFont val="Myriad Pro"/>
        <family val="2"/>
      </rPr>
      <t>veg</t>
    </r>
    <r>
      <rPr>
        <b/>
        <sz val="11"/>
        <rFont val="Myriad Pro"/>
        <family val="2"/>
      </rPr>
      <t xml:space="preserve"> = Estoque de carbono contido na biomassa da vegetação, podendo incluir o carbono acima e abaixo do solo</t>
    </r>
  </si>
  <si>
    <r>
      <t>tCO</t>
    </r>
    <r>
      <rPr>
        <b/>
        <vertAlign val="subscript"/>
        <sz val="11"/>
        <rFont val="Myriad Pro"/>
        <family val="2"/>
      </rPr>
      <t>2</t>
    </r>
    <r>
      <rPr>
        <b/>
        <sz val="11"/>
        <rFont val="Myriad Pro"/>
        <family val="2"/>
      </rPr>
      <t>e/ha</t>
    </r>
  </si>
  <si>
    <r>
      <t>C</t>
    </r>
    <r>
      <rPr>
        <b/>
        <vertAlign val="subscript"/>
        <sz val="11"/>
        <rFont val="Myriad Pro"/>
        <family val="2"/>
      </rPr>
      <t>pd</t>
    </r>
    <r>
      <rPr>
        <b/>
        <sz val="11"/>
        <rFont val="Myriad Pro"/>
        <family val="2"/>
      </rPr>
      <t xml:space="preserve"> = Estoque de carbono contido na biomassa da vegetação remanescente após o desmatamento, podendo incluir o carbono acima e abaixo do solo</t>
    </r>
  </si>
  <si>
    <r>
      <rPr>
        <b/>
        <i/>
        <sz val="11"/>
        <color theme="0"/>
        <rFont val="Myriad Pro"/>
        <family val="2"/>
      </rPr>
      <t>T</t>
    </r>
    <r>
      <rPr>
        <b/>
        <i/>
        <vertAlign val="subscript"/>
        <sz val="11"/>
        <color theme="0"/>
        <rFont val="Myriad Pro"/>
        <family val="2"/>
      </rPr>
      <t>i</t>
    </r>
    <r>
      <rPr>
        <b/>
        <sz val="11"/>
        <color theme="0"/>
        <rFont val="Myriad Pro"/>
        <family val="2"/>
      </rPr>
      <t xml:space="preserve"> (mm)</t>
    </r>
  </si>
  <si>
    <r>
      <rPr>
        <b/>
        <i/>
        <sz val="11"/>
        <color theme="0"/>
        <rFont val="Myriad Pro"/>
        <family val="2"/>
      </rPr>
      <t>d</t>
    </r>
    <r>
      <rPr>
        <b/>
        <i/>
        <vertAlign val="subscript"/>
        <sz val="11"/>
        <color theme="0"/>
        <rFont val="Myriad Pro"/>
        <family val="2"/>
      </rPr>
      <t>i</t>
    </r>
    <r>
      <rPr>
        <b/>
        <sz val="11"/>
        <color theme="0"/>
        <rFont val="Myriad Pro"/>
        <family val="2"/>
      </rPr>
      <t xml:space="preserve"> (Km)</t>
    </r>
  </si>
  <si>
    <r>
      <t xml:space="preserve">Estimativas de </t>
    </r>
    <r>
      <rPr>
        <b/>
        <i/>
        <sz val="12"/>
        <color rgb="FF003978"/>
        <rFont val="Myriad Pro"/>
        <family val="2"/>
      </rPr>
      <t>d</t>
    </r>
    <r>
      <rPr>
        <b/>
        <i/>
        <vertAlign val="subscript"/>
        <sz val="12"/>
        <color rgb="FF003978"/>
        <rFont val="Myriad Pro"/>
        <family val="2"/>
      </rPr>
      <t>i</t>
    </r>
  </si>
  <si>
    <r>
      <t xml:space="preserve">Estimativas de </t>
    </r>
    <r>
      <rPr>
        <b/>
        <i/>
        <sz val="11"/>
        <color rgb="FF003978"/>
        <rFont val="Myriad Pro"/>
        <family val="2"/>
      </rPr>
      <t>Ap</t>
    </r>
  </si>
  <si>
    <r>
      <t xml:space="preserve">Áreas </t>
    </r>
    <r>
      <rPr>
        <i/>
        <sz val="11"/>
        <color theme="0"/>
        <rFont val="Myriad Pro"/>
        <family val="2"/>
      </rPr>
      <t xml:space="preserve">m </t>
    </r>
    <r>
      <rPr>
        <sz val="11"/>
        <color theme="0"/>
        <rFont val="Myriad Pro"/>
        <family val="2"/>
      </rPr>
      <t>(provedoras de polinizadores)</t>
    </r>
  </si>
  <si>
    <r>
      <t xml:space="preserve"> (</t>
    </r>
    <r>
      <rPr>
        <i/>
        <sz val="11"/>
        <color theme="0"/>
        <rFont val="Myriad Pro"/>
        <family val="2"/>
      </rPr>
      <t>d</t>
    </r>
    <r>
      <rPr>
        <i/>
        <vertAlign val="subscript"/>
        <sz val="11"/>
        <color theme="0"/>
        <rFont val="Myriad Pro"/>
        <family val="2"/>
      </rPr>
      <t>i</t>
    </r>
    <r>
      <rPr>
        <sz val="11"/>
        <color theme="0"/>
        <rFont val="Myriad Pro"/>
        <family val="2"/>
      </rPr>
      <t>)</t>
    </r>
  </si>
  <si>
    <r>
      <t xml:space="preserve">Variação de </t>
    </r>
    <r>
      <rPr>
        <i/>
        <sz val="11"/>
        <color theme="0"/>
        <rFont val="Myriad Pro"/>
        <family val="2"/>
      </rPr>
      <t>LLI</t>
    </r>
    <r>
      <rPr>
        <sz val="11"/>
        <color theme="0"/>
        <rFont val="Myriad Pro"/>
        <family val="2"/>
      </rPr>
      <t xml:space="preserve"> para </t>
    </r>
    <r>
      <rPr>
        <i/>
        <sz val="11"/>
        <color theme="0"/>
        <rFont val="Myriad Pro"/>
        <family val="2"/>
      </rPr>
      <t>m</t>
    </r>
    <r>
      <rPr>
        <sz val="11"/>
        <color theme="0"/>
        <rFont val="Myriad Pro"/>
        <family val="2"/>
      </rPr>
      <t xml:space="preserve"> = 1</t>
    </r>
  </si>
  <si>
    <r>
      <t xml:space="preserve">Totais por área </t>
    </r>
    <r>
      <rPr>
        <i/>
        <sz val="11"/>
        <color theme="0"/>
        <rFont val="Myriad Pro"/>
        <family val="2"/>
      </rPr>
      <t>m</t>
    </r>
    <r>
      <rPr>
        <sz val="11"/>
        <color theme="0"/>
        <rFont val="Myriad Pro"/>
        <family val="2"/>
      </rPr>
      <t xml:space="preserve"> =  </t>
    </r>
  </si>
  <si>
    <r>
      <t>Ap</t>
    </r>
    <r>
      <rPr>
        <i/>
        <vertAlign val="subscript"/>
        <sz val="11"/>
        <color theme="0"/>
        <rFont val="Myriad Pro"/>
        <family val="2"/>
      </rPr>
      <t>n</t>
    </r>
  </si>
  <si>
    <r>
      <t>Pca</t>
    </r>
    <r>
      <rPr>
        <i/>
        <vertAlign val="subscript"/>
        <sz val="11"/>
        <color theme="0"/>
        <rFont val="Myriad Pro"/>
        <family val="2"/>
      </rPr>
      <t>j</t>
    </r>
  </si>
  <si>
    <r>
      <t>Pca</t>
    </r>
    <r>
      <rPr>
        <i/>
        <vertAlign val="subscript"/>
        <sz val="11"/>
        <color theme="0"/>
        <rFont val="Myriad Pro"/>
        <family val="2"/>
      </rPr>
      <t xml:space="preserve">j </t>
    </r>
    <r>
      <rPr>
        <sz val="11"/>
        <color theme="0"/>
        <rFont val="Myriad Pro"/>
        <family val="2"/>
      </rPr>
      <t>corrigido</t>
    </r>
  </si>
  <si>
    <r>
      <t>Dpca</t>
    </r>
    <r>
      <rPr>
        <i/>
        <vertAlign val="subscript"/>
        <sz val="11"/>
        <color theme="0"/>
        <rFont val="Myriad Pro"/>
        <family val="2"/>
      </rPr>
      <t>j</t>
    </r>
  </si>
  <si>
    <r>
      <t>Ap</t>
    </r>
    <r>
      <rPr>
        <i/>
        <vertAlign val="subscript"/>
        <sz val="11"/>
        <color theme="0"/>
        <rFont val="Myriad Pro"/>
        <family val="2"/>
      </rPr>
      <t xml:space="preserve">jmn </t>
    </r>
    <r>
      <rPr>
        <sz val="11"/>
        <color theme="0"/>
        <rFont val="Myriad Pro"/>
        <family val="2"/>
      </rPr>
      <t xml:space="preserve">(polinizadores da área </t>
    </r>
    <r>
      <rPr>
        <i/>
        <sz val="11"/>
        <color theme="0"/>
        <rFont val="Myriad Pro"/>
        <family val="2"/>
      </rPr>
      <t>m</t>
    </r>
    <r>
      <rPr>
        <sz val="11"/>
        <color theme="0"/>
        <rFont val="Myriad Pro"/>
        <family val="2"/>
      </rPr>
      <t xml:space="preserve"> que chegam até a área </t>
    </r>
    <r>
      <rPr>
        <i/>
        <sz val="11"/>
        <color theme="0"/>
        <rFont val="Myriad Pro"/>
        <family val="2"/>
      </rPr>
      <t>n</t>
    </r>
    <r>
      <rPr>
        <sz val="11"/>
        <color theme="0"/>
        <rFont val="Myriad Pro"/>
        <family val="2"/>
      </rPr>
      <t>)</t>
    </r>
  </si>
  <si>
    <r>
      <t>Ap</t>
    </r>
    <r>
      <rPr>
        <i/>
        <vertAlign val="subscript"/>
        <sz val="11"/>
        <color theme="0"/>
        <rFont val="Myriad Pro"/>
        <family val="2"/>
      </rPr>
      <t>jm</t>
    </r>
  </si>
  <si>
    <r>
      <t>$T</t>
    </r>
    <r>
      <rPr>
        <i/>
        <vertAlign val="subscript"/>
        <sz val="11"/>
        <color theme="1"/>
        <rFont val="Myriad Pro"/>
        <family val="2"/>
      </rPr>
      <t>a</t>
    </r>
    <r>
      <rPr>
        <sz val="11"/>
        <color theme="1"/>
        <rFont val="Myriad Pro"/>
        <family val="2"/>
      </rPr>
      <t xml:space="preserve"> = custo do tratamento da água para remover </t>
    </r>
    <r>
      <rPr>
        <i/>
        <sz val="11"/>
        <color theme="1"/>
        <rFont val="Myriad Pro"/>
        <family val="2"/>
      </rPr>
      <t>T</t>
    </r>
    <r>
      <rPr>
        <i/>
        <vertAlign val="subscript"/>
        <sz val="11"/>
        <color theme="1"/>
        <rFont val="Myriad Pro"/>
        <family val="2"/>
      </rPr>
      <t>ca</t>
    </r>
    <r>
      <rPr>
        <sz val="11"/>
        <color theme="1"/>
        <rFont val="Myriad Pro"/>
        <family val="2"/>
      </rPr>
      <t xml:space="preserve"> até nível aceitável para a empresa</t>
    </r>
  </si>
  <si>
    <t xml:space="preserve">Outros: </t>
  </si>
  <si>
    <t>Termo de isenção de responsabilidade</t>
  </si>
  <si>
    <t>Resultados referentes à dependência</t>
  </si>
  <si>
    <t>Resultados referentes ao impacto</t>
  </si>
  <si>
    <t>Resultados referentes à externalidade</t>
  </si>
  <si>
    <t>CINZA das abas da Ferramenta.  As demais contém fórmulas e não devem ser alteradas!</t>
  </si>
  <si>
    <t>das abas da Ferramenta.  As demais contém fórmulas e não devem ser alteradas!</t>
  </si>
  <si>
    <t>Provisão de Biomassa Combustível</t>
  </si>
  <si>
    <t xml:space="preserve">Provisão de Água </t>
  </si>
  <si>
    <t>Resumo</t>
  </si>
  <si>
    <t>Regulação da Qualidade da água</t>
  </si>
  <si>
    <t>APOIO REGULAÇÃO DA QUALIDADE DA ÁGUA</t>
  </si>
  <si>
    <t>R$/t</t>
  </si>
  <si>
    <r>
      <t>Se não obtiver dados específicos de C</t>
    </r>
    <r>
      <rPr>
        <b/>
        <vertAlign val="subscript"/>
        <sz val="11"/>
        <rFont val="Myriad Pro"/>
        <family val="2"/>
      </rPr>
      <t xml:space="preserve">Vrem </t>
    </r>
    <r>
      <rPr>
        <b/>
        <sz val="11"/>
        <rFont val="Myriad Pro"/>
        <family val="2"/>
      </rPr>
      <t xml:space="preserve">= preencha dados abaixo: </t>
    </r>
  </si>
  <si>
    <t>RESUMO DOS RESULTADOS</t>
  </si>
  <si>
    <t>DQa</t>
  </si>
  <si>
    <t>Regulação da Qualidade da Água</t>
  </si>
  <si>
    <t xml:space="preserve">Regulação de Polinização - Reposição </t>
  </si>
  <si>
    <t>Regulação do Clima Global - Emissões Líquidas</t>
  </si>
  <si>
    <t>Regulação do Clima Global - Desmatamento Evitado</t>
  </si>
  <si>
    <t>Regulação de Polinização - Selvagem</t>
  </si>
  <si>
    <t>Regulação de Erosão do Solo - Perda de Nutrientes</t>
  </si>
  <si>
    <t>Regulação de Erosão do Solo - Turbidez do corpo d´água</t>
  </si>
  <si>
    <t>Regulação da assimilação de efluentes</t>
  </si>
  <si>
    <t>Serviço Ecossistêmico Cultural de Recreação e Turismo</t>
  </si>
  <si>
    <t>LEGENDAS DE CORES DAS CÉLULAS</t>
  </si>
  <si>
    <r>
      <t>m</t>
    </r>
    <r>
      <rPr>
        <vertAlign val="superscript"/>
        <sz val="11"/>
        <color theme="1"/>
        <rFont val="Calibri"/>
        <family val="2"/>
        <scheme val="minor"/>
      </rPr>
      <t xml:space="preserve">3 </t>
    </r>
    <r>
      <rPr>
        <sz val="11"/>
        <color theme="1"/>
        <rFont val="Calibri"/>
        <family val="2"/>
        <scheme val="minor"/>
      </rPr>
      <t>água/m</t>
    </r>
    <r>
      <rPr>
        <vertAlign val="superscript"/>
        <sz val="11"/>
        <color theme="1"/>
        <rFont val="Calibri"/>
        <family val="2"/>
        <scheme val="minor"/>
      </rPr>
      <t>3</t>
    </r>
  </si>
  <si>
    <r>
      <t>EBc</t>
    </r>
    <r>
      <rPr>
        <b/>
        <vertAlign val="subscript"/>
        <sz val="11"/>
        <color rgb="FF000000"/>
        <rFont val="Myriad Pro"/>
        <family val="2"/>
      </rPr>
      <t>mut</t>
    </r>
    <r>
      <rPr>
        <b/>
        <sz val="11"/>
        <color theme="1"/>
        <rFont val="Myriad Pro"/>
        <family val="2"/>
      </rPr>
      <t xml:space="preserve"> </t>
    </r>
  </si>
  <si>
    <r>
      <t>EBc</t>
    </r>
    <r>
      <rPr>
        <b/>
        <vertAlign val="subscript"/>
        <sz val="11"/>
        <color theme="1"/>
        <rFont val="Myriad Pro"/>
        <family val="2"/>
      </rPr>
      <t>af</t>
    </r>
    <r>
      <rPr>
        <b/>
        <sz val="11"/>
        <color theme="1"/>
        <rFont val="Myriad Pro"/>
        <family val="2"/>
      </rPr>
      <t xml:space="preserve"> </t>
    </r>
  </si>
  <si>
    <r>
      <t>m</t>
    </r>
    <r>
      <rPr>
        <b/>
        <vertAlign val="superscript"/>
        <sz val="12"/>
        <rFont val="Myriad Pro"/>
        <family val="2"/>
      </rPr>
      <t>3</t>
    </r>
  </si>
  <si>
    <t>M</t>
  </si>
  <si>
    <t>J</t>
  </si>
  <si>
    <r>
      <t>DPca</t>
    </r>
    <r>
      <rPr>
        <b/>
        <vertAlign val="subscript"/>
        <sz val="11"/>
        <rFont val="Myriad Pro"/>
        <family val="2"/>
      </rPr>
      <t>j</t>
    </r>
    <r>
      <rPr>
        <b/>
        <sz val="11"/>
        <rFont val="Myriad Pro"/>
        <family val="2"/>
      </rPr>
      <t xml:space="preserve"> </t>
    </r>
  </si>
  <si>
    <r>
      <t>DPca</t>
    </r>
    <r>
      <rPr>
        <b/>
        <vertAlign val="subscript"/>
        <sz val="11"/>
        <rFont val="Myriad Pro"/>
        <family val="2"/>
      </rPr>
      <t>j</t>
    </r>
  </si>
  <si>
    <r>
      <t>PN</t>
    </r>
    <r>
      <rPr>
        <b/>
        <i/>
        <vertAlign val="subscript"/>
        <sz val="11"/>
        <rFont val="Myriad Pro"/>
        <family val="2"/>
      </rPr>
      <t>s</t>
    </r>
  </si>
  <si>
    <r>
      <t>Ipca</t>
    </r>
    <r>
      <rPr>
        <b/>
        <vertAlign val="subscript"/>
        <sz val="11"/>
        <color theme="1"/>
        <rFont val="Myriad Pro"/>
        <family val="2"/>
      </rPr>
      <t>j</t>
    </r>
  </si>
  <si>
    <r>
      <t>Ipca</t>
    </r>
    <r>
      <rPr>
        <b/>
        <vertAlign val="subscript"/>
        <sz val="11"/>
        <rFont val="Myriad Pro"/>
        <family val="2"/>
      </rPr>
      <t>j</t>
    </r>
  </si>
  <si>
    <r>
      <t>BCO</t>
    </r>
    <r>
      <rPr>
        <b/>
        <vertAlign val="subscript"/>
        <sz val="11"/>
        <rFont val="Myriad Pro"/>
        <family val="2"/>
      </rPr>
      <t>2</t>
    </r>
    <r>
      <rPr>
        <sz val="11"/>
        <rFont val="Myriad Pro"/>
        <family val="2"/>
      </rPr>
      <t>e</t>
    </r>
  </si>
  <si>
    <r>
      <t>E</t>
    </r>
    <r>
      <rPr>
        <b/>
        <vertAlign val="subscript"/>
        <sz val="11"/>
        <rFont val="Myriad Pro"/>
        <family val="2"/>
      </rPr>
      <t>ev</t>
    </r>
  </si>
  <si>
    <r>
      <t>Aae</t>
    </r>
    <r>
      <rPr>
        <b/>
        <vertAlign val="subscript"/>
        <sz val="11"/>
        <rFont val="Myriad Pro"/>
        <family val="2"/>
      </rPr>
      <t>alt</t>
    </r>
    <r>
      <rPr>
        <b/>
        <sz val="11"/>
        <rFont val="Myriad Pro"/>
        <family val="2"/>
      </rPr>
      <t xml:space="preserve"> </t>
    </r>
  </si>
  <si>
    <t>APOIO PROVISÃO DE BIOMASSA COMBUSTÍVEL</t>
  </si>
  <si>
    <t>Etanol</t>
  </si>
  <si>
    <r>
      <t>Fator de Equivalência de Poder Calorífico (Fe</t>
    </r>
    <r>
      <rPr>
        <vertAlign val="subscript"/>
        <sz val="11"/>
        <color theme="0"/>
        <rFont val="Myriad Pro"/>
        <family val="2"/>
      </rPr>
      <t xml:space="preserve">pc </t>
    </r>
    <r>
      <rPr>
        <sz val="11"/>
        <color theme="0"/>
        <rFont val="Myriad Pro"/>
        <family val="2"/>
      </rPr>
      <t>= Pc</t>
    </r>
    <r>
      <rPr>
        <vertAlign val="subscript"/>
        <sz val="11"/>
        <color theme="0"/>
        <rFont val="Myriad Pro"/>
        <family val="2"/>
      </rPr>
      <t>b</t>
    </r>
    <r>
      <rPr>
        <sz val="11"/>
        <color theme="0"/>
        <rFont val="Myriad Pro"/>
        <family val="2"/>
      </rPr>
      <t xml:space="preserve"> /Pc</t>
    </r>
    <r>
      <rPr>
        <vertAlign val="subscript"/>
        <sz val="11"/>
        <color theme="0"/>
        <rFont val="Myriad Pro"/>
        <family val="2"/>
      </rPr>
      <t>alt )</t>
    </r>
  </si>
  <si>
    <t xml:space="preserve">Alternativa energética não listada anteriormente: </t>
  </si>
  <si>
    <t>Regime de lançamento com vazão máxima de até 1,5 vezes a vazão média do período de atividade diária do agente poluidor, exceto nos casos permitidos pela autoridade competente</t>
  </si>
  <si>
    <t>Para áreas de agricultura anual adotou-se o valor default de 5 tC/ha para o estoque de carbono do Good Practice Guidance LULUCF 2003 (Tabela 3.3.8). Para as áreas de agricultura perene adotou-se o valor de 21tC/ha para estoque médio de carbono.</t>
  </si>
  <si>
    <r>
      <t xml:space="preserve">Caracterize abaixo o uso de solo em cada uma das áreas </t>
    </r>
    <r>
      <rPr>
        <i/>
        <sz val="11"/>
        <color theme="1"/>
        <rFont val="Myriad Pro"/>
        <family val="2"/>
      </rPr>
      <t>m</t>
    </r>
    <r>
      <rPr>
        <sz val="11"/>
        <color theme="1"/>
        <rFont val="Myriad Pro"/>
        <family val="2"/>
      </rPr>
      <t xml:space="preserve"> que forem analisadas.</t>
    </r>
  </si>
  <si>
    <r>
      <t xml:space="preserve">Insira os dados sobre as distâncias das áreas </t>
    </r>
    <r>
      <rPr>
        <i/>
        <sz val="11"/>
        <color theme="1"/>
        <rFont val="Myriad Pro"/>
        <family val="2"/>
      </rPr>
      <t xml:space="preserve">m, </t>
    </r>
    <r>
      <rPr>
        <sz val="11"/>
        <color theme="1"/>
        <rFont val="Myriad Pro"/>
        <family val="2"/>
      </rPr>
      <t xml:space="preserve">provedoras de polinizadores, para a área </t>
    </r>
    <r>
      <rPr>
        <i/>
        <sz val="11"/>
        <color theme="1"/>
        <rFont val="Myriad Pro"/>
        <family val="2"/>
      </rPr>
      <t>n</t>
    </r>
    <r>
      <rPr>
        <sz val="11"/>
        <color theme="1"/>
        <rFont val="Myriad Pro"/>
        <family val="2"/>
      </rPr>
      <t xml:space="preserve"> demandante de polinização, que estiver sendo analisada no momento (</t>
    </r>
    <r>
      <rPr>
        <i/>
        <sz val="11"/>
        <color theme="1"/>
        <rFont val="Myriad Pro"/>
        <family val="2"/>
      </rPr>
      <t>d</t>
    </r>
    <r>
      <rPr>
        <i/>
        <vertAlign val="subscript"/>
        <sz val="11"/>
        <color theme="1"/>
        <rFont val="Myriad Pro"/>
        <family val="2"/>
      </rPr>
      <t>mn</t>
    </r>
    <r>
      <rPr>
        <sz val="11"/>
        <color theme="1"/>
        <rFont val="Myriad Pro"/>
        <family val="2"/>
      </rPr>
      <t xml:space="preserve">). Considere até 12 áreas </t>
    </r>
    <r>
      <rPr>
        <i/>
        <sz val="11"/>
        <color theme="1"/>
        <rFont val="Myriad Pro"/>
        <family val="2"/>
      </rPr>
      <t>m</t>
    </r>
    <r>
      <rPr>
        <sz val="11"/>
        <color theme="1"/>
        <rFont val="Myriad Pro"/>
        <family val="2"/>
      </rPr>
      <t xml:space="preserve"> mais próximas de </t>
    </r>
    <r>
      <rPr>
        <i/>
        <sz val="11"/>
        <color theme="1"/>
        <rFont val="Myriad Pro"/>
        <family val="2"/>
      </rPr>
      <t>n</t>
    </r>
    <r>
      <rPr>
        <sz val="11"/>
        <color theme="1"/>
        <rFont val="Myriad Pro"/>
        <family val="2"/>
      </rPr>
      <t>. Se o total de áreas m de interesse (M), for menor do que 12, deixe em branco dmn para m &gt; M.</t>
    </r>
  </si>
  <si>
    <r>
      <t xml:space="preserve">Ap = </t>
    </r>
    <r>
      <rPr>
        <i/>
        <sz val="11"/>
        <color theme="1"/>
        <rFont val="Myriad Pro"/>
        <family val="2"/>
      </rPr>
      <t>Abundância de polinizadores (abelhas/ha)</t>
    </r>
  </si>
  <si>
    <t>Pêssego</t>
  </si>
  <si>
    <t>Abóbora</t>
  </si>
  <si>
    <t>Brócolis</t>
  </si>
  <si>
    <t>Chá verde</t>
  </si>
  <si>
    <t>herbácea</t>
  </si>
  <si>
    <t>Várzea Herbácea</t>
  </si>
  <si>
    <t>Predominam árvores &gt; 5m, com dossel (copas das árvores se tocando) em 30% a 60% da área, regeneração natural visível em estratos inferiores ao dossel, com sinais significativos de corte ou outros distúrbios, como grande presença de cipós na área. Áreas classificadas como secundárias de desenvolvimento intermediário</t>
  </si>
  <si>
    <t>Predominam árvores &gt; 10m, com dossel (copas das árvores se tocando) em  menos 60% da área, regeneração natural visível em estratos inferiores ao dossel, sem sinais significativos de corte ou outros distúrbios na área. Áreas classificadas como primárias ou secundárias tardias</t>
  </si>
  <si>
    <t>Áreas onde predominam árvores e arbustos &lt; 5m, com pouca diversidade de áreas classificadas como em estágio inicial de regeneração.</t>
  </si>
  <si>
    <r>
      <t xml:space="preserve">Fisionomias de cerrado tipo compo sujo, campo cerrado e cerrado </t>
    </r>
    <r>
      <rPr>
        <i/>
        <sz val="11"/>
        <color theme="1"/>
        <rFont val="Myriad Pro"/>
        <family val="2"/>
      </rPr>
      <t>sensu-strictu</t>
    </r>
    <r>
      <rPr>
        <sz val="11"/>
        <color theme="1"/>
        <rFont val="Myriad Pro"/>
        <family val="2"/>
      </rPr>
      <t>, onde predominam vegetação herbácea mas há componente lenhoso significativo. A fisionomia campo limpo deve ser enquadrada como campo (ver acima), enquanto que a fisionomia cerradão deve ser enquadrada como floresta (ver acima), de acordo com seu estágio de desenvolvimento.</t>
    </r>
  </si>
  <si>
    <t>Área frequentemente alagada com cobertura de vegetação arbustiva/arbórea &gt; 20%</t>
  </si>
  <si>
    <t>Área frequentemente alagada com cobertura de vegetação arbustiva/arbórea &lt; 20%</t>
  </si>
  <si>
    <t>Inclui campos naturais em área de solo pedregoso, bem como remanescentes de vegetação herbácea na margem de estradas</t>
  </si>
  <si>
    <t>Pomares, sistemas agroflorestais, culturas lenhosas perenes como cítricos, eucalipto, café, etc.</t>
  </si>
  <si>
    <t>Culturas perenes herbáceas e lenhosas de porte reduzido, como amora, rosas,  framboesas, etc.</t>
  </si>
  <si>
    <t>Veja conversor de unidades</t>
  </si>
  <si>
    <r>
      <rPr>
        <b/>
        <sz val="11"/>
        <color theme="1"/>
        <rFont val="Myriad Pro"/>
        <family val="2"/>
      </rPr>
      <t>Es</t>
    </r>
    <r>
      <rPr>
        <b/>
        <vertAlign val="subscript"/>
        <sz val="11"/>
        <color theme="1"/>
        <rFont val="Myriad Pro"/>
        <family val="2"/>
      </rPr>
      <t xml:space="preserve">matual </t>
    </r>
    <r>
      <rPr>
        <sz val="11"/>
        <color theme="1"/>
        <rFont val="Myriad Pro"/>
        <family val="2"/>
      </rPr>
      <t>= erosão do solo na condição de usos do solo atuais nas áreas à montante</t>
    </r>
  </si>
  <si>
    <t xml:space="preserve">Esta aba apresenta o resumo dos resultados para os três diferentes aspectos de cada um dos serviços ecossistêmicos. Note que os resultados trazidos são os calculados e não aqueles registrados nas Tabelas Compilação de Resultados. A primeira tabela traz os resultados de serviços ecossistêmicos de provisão, a segunda tabela traz os serviços ecossistêmicos de regulação e a terceira traz o serviços ecossistêmico cultural. Para retornar às abas de cálculos, clique na célula correspondente ao serviço ecossistêmico. </t>
  </si>
  <si>
    <t>ORIENTAÇÕES DE PREENCHIMENTO</t>
  </si>
  <si>
    <t>colônias</t>
  </si>
  <si>
    <t xml:space="preserve">(A) Esta ferrmenta auxilia a implementação dos métodos descritos na DEVESE 2.0 e, portanto, deve ser aplicada em conjunto com as diretrizes, que explicam as bases teóricas dos métodos propostos, além de prover maiores informações sobre o significado das variáveis dos cálculos e recomendações para o levantamento de dados, etapa determinante para a precisão e confiabilidade dos resultados. </t>
  </si>
  <si>
    <r>
      <t xml:space="preserve">(B) O primeiro passo para a utilização da </t>
    </r>
    <r>
      <rPr>
        <b/>
        <sz val="11"/>
        <color theme="1"/>
        <rFont val="Myriad Pro"/>
        <family val="2"/>
      </rPr>
      <t>Ferramenta de Cálculo da DEVESE 2.0</t>
    </r>
    <r>
      <rPr>
        <sz val="11"/>
        <color theme="1"/>
        <rFont val="Myriad Pro"/>
        <family val="2"/>
      </rPr>
      <t xml:space="preserve"> é o preenchimento da aba Plano de Trabalho, que sintetiza o estudo e orienta a definição do escopo, conforme o item 2 da DEVESE 2.0 - Planejamento do Estudo.</t>
    </r>
    <r>
      <rPr>
        <sz val="11"/>
        <rFont val="Myriad Pro"/>
        <family val="2"/>
      </rPr>
      <t xml:space="preserve"> </t>
    </r>
  </si>
  <si>
    <r>
      <t xml:space="preserve">(C) Preencha apenas as células </t>
    </r>
    <r>
      <rPr>
        <b/>
        <sz val="11"/>
        <color theme="0" tint="-0.499984740745262"/>
        <rFont val="Myriad Pro"/>
        <family val="2"/>
      </rPr>
      <t/>
    </r>
  </si>
  <si>
    <t xml:space="preserve">(D) As variáveis necessárias ao cálculo de apenas um dos aspectos (dependência, impacto e externalidade) são sinalizadas. Caso aquele aspecto não seja objeto de estudo, tais variáveis não precisam ser preenchidas. As demais variáveis, que não estão sob nenhum aspecto, são necessárias para o cálculo de mais de um aspecto. </t>
  </si>
  <si>
    <t xml:space="preserve">(E) Um arquivo diferente da Ferramenta de Cálculo deve ser preenchido para cada objeto de estudo, conforme Plano de Trabalho (por exemplo uma unidade industrial e um fornecedor). Cada arquivo pode ser salvo com o nome do objeto de estudo. </t>
  </si>
  <si>
    <t xml:space="preserve">(F)  As planilhas de cálculo devem ser rodadas para cada um dos diferentes cenários ou parâmetros. Sugerimos que após o cálculo de cada cenário e/ou parâmetro, os resultados sejam preenchidos nas tabelas de compilação de dados ao final da planilha (células inicialmente agrupadas) e os valores nas células cinza referentes sejam apagados. </t>
  </si>
  <si>
    <r>
      <t xml:space="preserve">(G) As abas </t>
    </r>
    <r>
      <rPr>
        <b/>
        <sz val="11"/>
        <color theme="3"/>
        <rFont val="Myriad Pro"/>
        <family val="2"/>
      </rPr>
      <t>azuis</t>
    </r>
    <r>
      <rPr>
        <sz val="11"/>
        <rFont val="Myriad Pro"/>
        <family val="2"/>
      </rPr>
      <t xml:space="preserve"> dizem respeito à aspectos gerais do estudo, como Plano de Trabalho e Resumo dos Resultados. As abas </t>
    </r>
    <r>
      <rPr>
        <b/>
        <sz val="11"/>
        <color rgb="FF00B050"/>
        <rFont val="Myriad Pro"/>
        <family val="2"/>
      </rPr>
      <t>verdes</t>
    </r>
    <r>
      <rPr>
        <sz val="11"/>
        <rFont val="Myriad Pro"/>
        <family val="2"/>
      </rPr>
      <t xml:space="preserve"> são calculadoras dos diferentes serviços ecossistêmicos. E as abas </t>
    </r>
    <r>
      <rPr>
        <b/>
        <sz val="11"/>
        <color theme="1" tint="0.34998626667073579"/>
        <rFont val="Myriad Pro"/>
        <family val="2"/>
      </rPr>
      <t>cinzas</t>
    </r>
    <r>
      <rPr>
        <sz val="11"/>
        <rFont val="Myriad Pro"/>
        <family val="2"/>
      </rPr>
      <t xml:space="preserve"> são abas de apoio que trazem valores </t>
    </r>
    <r>
      <rPr>
        <i/>
        <sz val="11"/>
        <rFont val="Myriad Pro"/>
        <family val="2"/>
      </rPr>
      <t xml:space="preserve">defaults </t>
    </r>
    <r>
      <rPr>
        <sz val="11"/>
        <rFont val="Myriad Pro"/>
        <family val="2"/>
      </rPr>
      <t>e premissas adotadas nos cálculos.</t>
    </r>
  </si>
  <si>
    <t>(H) Orientações específicas estão disponíveis nas respectivas abas e, eventualmente, nas células de observação nos quadros de Dados de Entrada.</t>
  </si>
  <si>
    <t>equipetese@fgv.br</t>
  </si>
  <si>
    <t xml:space="preserve">Dúvidas que não sejam sanadas pela DEVESE 2.0, bem como sugestões relativas aos métodos ou a ferramenta, podem ser direcionadas à equipe da TeSE, pelo e-mail: </t>
  </si>
  <si>
    <t xml:space="preserve">Observações: </t>
  </si>
  <si>
    <t xml:space="preserve">Estão disponíveis duas abordagens de quantificação e valoração para o serviço ecossistêmico de regulação da erosão do solo: 
1) Perda de nutrientes; 2) Turbidez no corpo d'água. Abra o grupo de células para preenchimento de cada um deles. </t>
  </si>
  <si>
    <t>COMPILAÇÃO DOS RESULTADOS</t>
  </si>
  <si>
    <t>Área de interesse</t>
  </si>
  <si>
    <r>
      <t>E</t>
    </r>
    <r>
      <rPr>
        <b/>
        <vertAlign val="subscript"/>
        <sz val="12"/>
        <color theme="1"/>
        <rFont val="Myriad Pro"/>
        <family val="2"/>
      </rPr>
      <t>ev</t>
    </r>
  </si>
  <si>
    <r>
      <t>BCO</t>
    </r>
    <r>
      <rPr>
        <b/>
        <vertAlign val="subscript"/>
        <sz val="12"/>
        <color theme="1"/>
        <rFont val="Myriad Pro"/>
        <family val="2"/>
      </rPr>
      <t>2</t>
    </r>
    <r>
      <rPr>
        <b/>
        <sz val="12"/>
        <color theme="1"/>
        <rFont val="Myriad Pro"/>
        <family val="2"/>
      </rPr>
      <t>e</t>
    </r>
  </si>
  <si>
    <t>COMPILAÇÃO DE RESULTADOS</t>
  </si>
  <si>
    <t xml:space="preserve">Os cálculos devem ser feitos para cada biomassa em separado. Após preencher a tabela na seção COMPILAÇÃO DE RESULTADOS com os resultados de uma determinada biomassa, apague todas as células cinzas do quadro DADOS DE ENTRADA e preencha novamente para a próxima biomassa a ser analisada. </t>
  </si>
  <si>
    <t xml:space="preserve">Uma vez feito o cálculo, anote os resultados na seção COMPILAÇÃO DE RESULTADOS abaixo. 
Para fazer novos cálculos é necessário apagar os dados preenchidos anteriormente. </t>
  </si>
  <si>
    <t>Os cálculos devem ser feitos para cada parâmetro de qualidade da água em separado. Após preencher a tabela na seção COMPILAÇÃO DE RESULTADOS para um determinado parâmetro, apague todas as células cinzas do quadro DADOS DE ENTRADA e preencha novamente para o próximo parâmetro a ser analisado. Note que os preços de logística e tratamento podem ou não englobar o tratamento de mais de um parâmetro.</t>
  </si>
  <si>
    <t>Os cálculos devem ser feitos para cada parâmetro de qualidade da água em separado. Após preencher a tabela na seção COMPILAÇÃO DE RESULTADOS 
para um determinado parâmetro, apague todas as células cinzas do quadro DADOS DE ENTRADA e preencha novamente para o próximo parâmetro a ser analisado. Note que os preços de logística e tratamento podem ou não englobar o tratamento de mais de um parâmetro.</t>
  </si>
  <si>
    <t>Estão disponíveis duas abordagens de quantificação e valoração para o serviço ecossistêmico polinização. Escolha o mais adequado
e abra o agrupamento de células para preenchimento e visualização de resultados.</t>
  </si>
  <si>
    <t>Realização:</t>
  </si>
  <si>
    <r>
      <t xml:space="preserve">O Programa Tendências em Serviços Ecossistêmicos (TeSE) tem como motivação ajudar o setor empresarial a entender e dimensionar a importância do capital natural para seus negócios e também para a sociedade através do desenvolvimento de estratégias e ferramentas destinadas à gestão empresarial de impactos, dependências, riscos e oportunidades relacionados a serviços ecossistêmicos. Para auxiliar no cumprimento destes objetivos a TeSE desenvolveu a “Ferramenta de cálculo para quantificação e valoração de serviços ecossistêmicos” (Ferramenta de cálculo da DEVESE). A Ferramenta encontra-se atualmente na versão “Ferramenta v1.0”.
Recomenda-se que o usuário utilize  valores específicos para sua organização. Caso faltem valores específicos, esta ferramenta de cálculo oferece valores </t>
    </r>
    <r>
      <rPr>
        <i/>
        <sz val="11"/>
        <rFont val="Myriad Pro"/>
        <family val="2"/>
      </rPr>
      <t>default</t>
    </r>
    <r>
      <rPr>
        <sz val="11"/>
        <rFont val="Myriad Pro"/>
        <family val="2"/>
      </rPr>
      <t xml:space="preserve"> baseados em publicações reconhecidas, como IPCC, a Resolução Conama 357/2005, entre outros. Os valores sugeridos, no entanto, são parâmetros gerais e quando utilizados para casos específicos podem não corresponder, necessariamente, à realidade. Além disso, tais valores estão em constante evolução, acompanhando o desenvolvimento das pesquisas. Cabe, então, ao usuário a responsabilidade pela utilização dos mesmos. A utilização de valores específicos para uma organização deve ser claramente informada no relato, tornando-se assim público.
A equipe de desenvolvimento da ferramenta não se responsabiliza por adaptações realizadas por usuários, tampouco, pelos respectivos resultados decorrentes dessas alterações. Da mesma forma, a utilização da ferramenta com as alterações introduzidas pelo usuário deve ser explicitamente informada a terceiros.
A propriedade intelectual, patrimonial e moral desta Ferramenta é única e exclusiva da FGV, sendo o seu uso autorizado nos moldes descritos nesse termo. Portanto, é vedada a sua exploração comercial.
O indivíduo ou empresa que desrespeitar o conteúdo do presente termo estará sujeito à pena de multa no importe de R$10.000,00 (dez mil reais) além de eventuais consequências legais do ato ilícito a que der causa.
Equipe de Coordenação do Programa Tendências em Serviços Ecossistêmicos.</t>
    </r>
  </si>
  <si>
    <t>Parceria:</t>
  </si>
</sst>
</file>

<file path=xl/styles.xml><?xml version="1.0" encoding="utf-8"?>
<styleSheet xmlns="http://schemas.openxmlformats.org/spreadsheetml/2006/main" xmlns:mc="http://schemas.openxmlformats.org/markup-compatibility/2006" xmlns:x14ac="http://schemas.microsoft.com/office/spreadsheetml/2009/9/ac" mc:Ignorable="x14ac">
  <numFmts count="33">
    <numFmt numFmtId="7" formatCode="&quot;R$&quot;\ #,##0.00;\-&quot;R$&quot;\ #,##0.00"/>
    <numFmt numFmtId="41" formatCode="_-* #,##0_-;\-* #,##0_-;_-* &quot;-&quot;_-;_-@_-"/>
    <numFmt numFmtId="44" formatCode="_-&quot;R$&quot;\ * #,##0.00_-;\-&quot;R$&quot;\ * #,##0.00_-;_-&quot;R$&quot;\ * &quot;-&quot;??_-;_-@_-"/>
    <numFmt numFmtId="43" formatCode="_-* #,##0.00_-;\-* #,##0.00_-;_-* &quot;-&quot;??_-;_-@_-"/>
    <numFmt numFmtId="164" formatCode="_(* #,##0.00_);_(* \(#,##0.00\);_(* &quot;-&quot;??_);_(@_)"/>
    <numFmt numFmtId="165" formatCode="0.0"/>
    <numFmt numFmtId="166" formatCode="_(* #,##0.0_);_(* \(#,##0.0\);_(* &quot;-&quot;??_);_(@_)"/>
    <numFmt numFmtId="167" formatCode="[$$-409]#,##0"/>
    <numFmt numFmtId="168" formatCode="#,##0_)"/>
    <numFmt numFmtId="169" formatCode="###0.00_)"/>
    <numFmt numFmtId="170" formatCode="0.0_W"/>
    <numFmt numFmtId="171" formatCode="_([$€-2]* #,##0.00_);_([$€-2]* \(#,##0.00\);_([$€-2]* &quot;-&quot;??_)"/>
    <numFmt numFmtId="172" formatCode="_(* #,##0.0_);_(* \(#,##0.0\);_(&quot;-&quot;_);_(@_)"/>
    <numFmt numFmtId="173" formatCode="_(&quot;R$ &quot;* #,##0.00_);_(&quot;R$ &quot;* \(#,##0.00\);_(&quot;R$ &quot;* &quot;-&quot;??_);_(@_)"/>
    <numFmt numFmtId="174" formatCode="_(&quot;$&quot;* #,##0.00_);_(&quot;$&quot;* \(#,##0.00\);_(&quot;$&quot;* &quot;-&quot;??_);_(@_)"/>
    <numFmt numFmtId="175" formatCode="#,##0.0000"/>
    <numFmt numFmtId="176" formatCode="_(* #,##0_);_(* \(#,##0\);_(* &quot;-&quot;??_);_(@_)"/>
    <numFmt numFmtId="177" formatCode="0.0%"/>
    <numFmt numFmtId="178" formatCode="_-* #,##0_-;\-* #,##0_-;_-* &quot;-&quot;??_-;_-@_-"/>
    <numFmt numFmtId="179" formatCode="_-* #,##0.000_-;\-* #,##0.000_-;_-* &quot;-&quot;??_-;_-@_-"/>
    <numFmt numFmtId="180" formatCode="0.0000"/>
    <numFmt numFmtId="181" formatCode="_-[$R$-416]\ * #,##0.00_-;\-[$R$-416]\ * #,##0.00_-;_-[$R$-416]\ * &quot;-&quot;??_-;_-@_-"/>
    <numFmt numFmtId="182" formatCode="&quot;R$&quot;\ #,##0.00"/>
    <numFmt numFmtId="183" formatCode="#,##0.000"/>
    <numFmt numFmtId="184" formatCode="#,##0.0"/>
    <numFmt numFmtId="185" formatCode="0.000E+00"/>
    <numFmt numFmtId="186" formatCode="#,##0.00_ ;\-#,##0.00\ "/>
    <numFmt numFmtId="187" formatCode="#,##0.00000"/>
    <numFmt numFmtId="188" formatCode="0.000"/>
    <numFmt numFmtId="189" formatCode="0.00000"/>
    <numFmt numFmtId="190" formatCode="0.00_ ;\-0.00\ "/>
    <numFmt numFmtId="191" formatCode="_-* #,##0.0000_-;\-* #,##0.0000_-;_-* &quot;-&quot;??_-;_-@_-"/>
    <numFmt numFmtId="192" formatCode="#,##0_ ;\-#,##0\ "/>
  </numFmts>
  <fonts count="162" x14ac:knownFonts="1">
    <font>
      <sz val="11"/>
      <color theme="1"/>
      <name val="Calibri"/>
      <family val="2"/>
      <scheme val="minor"/>
    </font>
    <font>
      <sz val="11"/>
      <color rgb="FF3F3F76"/>
      <name val="Calibri"/>
      <family val="2"/>
      <scheme val="minor"/>
    </font>
    <font>
      <b/>
      <sz val="11"/>
      <color rgb="FF3F3F3F"/>
      <name val="Calibri"/>
      <family val="2"/>
      <scheme val="minor"/>
    </font>
    <font>
      <b/>
      <sz val="11"/>
      <color theme="1"/>
      <name val="Calibri"/>
      <family val="2"/>
      <scheme val="minor"/>
    </font>
    <font>
      <sz val="11"/>
      <color theme="1"/>
      <name val="Calibri"/>
      <family val="2"/>
      <scheme val="minor"/>
    </font>
    <font>
      <b/>
      <sz val="11"/>
      <color theme="2" tint="-0.749992370372631"/>
      <name val="Calibri"/>
      <family val="2"/>
      <scheme val="minor"/>
    </font>
    <font>
      <sz val="8"/>
      <color rgb="FF000000"/>
      <name val="Tahoma"/>
      <family val="2"/>
    </font>
    <font>
      <b/>
      <sz val="14"/>
      <color theme="9" tint="-0.249977111117893"/>
      <name val="Calibri"/>
      <family val="2"/>
      <scheme val="minor"/>
    </font>
    <font>
      <b/>
      <sz val="11"/>
      <color theme="0"/>
      <name val="Calibri"/>
      <family val="2"/>
      <scheme val="minor"/>
    </font>
    <font>
      <b/>
      <sz val="9"/>
      <color indexed="81"/>
      <name val="Tahoma"/>
      <family val="2"/>
    </font>
    <font>
      <vertAlign val="superscript"/>
      <sz val="11"/>
      <color theme="1"/>
      <name val="Calibri"/>
      <family val="2"/>
      <scheme val="minor"/>
    </font>
    <font>
      <sz val="9"/>
      <name val="Times New Roman"/>
      <family val="1"/>
    </font>
    <font>
      <sz val="10"/>
      <name val="Arial"/>
      <family val="2"/>
    </font>
    <font>
      <b/>
      <sz val="9"/>
      <name val="Times New Roman"/>
      <family val="1"/>
    </font>
    <font>
      <b/>
      <sz val="12"/>
      <name val="Helv"/>
    </font>
    <font>
      <sz val="9"/>
      <name val="Helv"/>
    </font>
    <font>
      <vertAlign val="superscript"/>
      <sz val="12"/>
      <name val="Helv"/>
    </font>
    <font>
      <sz val="10"/>
      <name val="Helv"/>
    </font>
    <font>
      <b/>
      <sz val="10"/>
      <name val="Arial"/>
      <family val="2"/>
    </font>
    <font>
      <i/>
      <sz val="10"/>
      <color indexed="10"/>
      <name val="Arial"/>
      <family val="2"/>
    </font>
    <font>
      <b/>
      <sz val="12"/>
      <name val="Times New Roman"/>
      <family val="1"/>
    </font>
    <font>
      <b/>
      <sz val="9"/>
      <name val="Helv"/>
    </font>
    <font>
      <sz val="8.5"/>
      <name val="Helv"/>
    </font>
    <font>
      <b/>
      <sz val="10"/>
      <name val="Helv"/>
    </font>
    <font>
      <u/>
      <sz val="11"/>
      <color indexed="12"/>
      <name val="Calibri"/>
      <family val="2"/>
    </font>
    <font>
      <u/>
      <sz val="11"/>
      <color theme="10"/>
      <name val="Calibri"/>
      <family val="2"/>
    </font>
    <font>
      <sz val="1"/>
      <name val="Arial"/>
      <family val="2"/>
    </font>
    <font>
      <sz val="10"/>
      <name val="Verdana"/>
      <family val="2"/>
    </font>
    <font>
      <sz val="8"/>
      <name val="Helv"/>
    </font>
    <font>
      <sz val="12"/>
      <name val="Helv"/>
    </font>
    <font>
      <b/>
      <sz val="14"/>
      <name val="Helv"/>
    </font>
    <font>
      <u/>
      <sz val="11"/>
      <color theme="1"/>
      <name val="Calibri"/>
      <family val="2"/>
      <scheme val="minor"/>
    </font>
    <font>
      <sz val="9"/>
      <color indexed="81"/>
      <name val="Tahoma"/>
      <family val="2"/>
    </font>
    <font>
      <sz val="11"/>
      <color theme="1"/>
      <name val="Myriad Pro"/>
      <family val="2"/>
    </font>
    <font>
      <b/>
      <sz val="11"/>
      <color theme="1"/>
      <name val="Myriad Pro"/>
      <family val="2"/>
    </font>
    <font>
      <sz val="11"/>
      <color rgb="FF3F3F76"/>
      <name val="Myriad Pro"/>
      <family val="2"/>
    </font>
    <font>
      <b/>
      <sz val="11"/>
      <color rgb="FF95C11E"/>
      <name val="Myriad Pro"/>
      <family val="2"/>
    </font>
    <font>
      <b/>
      <sz val="12"/>
      <color theme="0"/>
      <name val="Myriad Pro"/>
      <family val="2"/>
    </font>
    <font>
      <sz val="11"/>
      <name val="Myriad Pro"/>
      <family val="2"/>
    </font>
    <font>
      <b/>
      <sz val="12"/>
      <name val="Myriad Pro"/>
      <family val="2"/>
    </font>
    <font>
      <b/>
      <sz val="12"/>
      <color rgb="FF00B050"/>
      <name val="Myriad Pro"/>
      <family val="2"/>
    </font>
    <font>
      <sz val="11"/>
      <color theme="0"/>
      <name val="Myriad Pro"/>
      <family val="2"/>
    </font>
    <font>
      <sz val="12"/>
      <color theme="0"/>
      <name val="Myriad Pro"/>
      <family val="2"/>
    </font>
    <font>
      <sz val="14"/>
      <color theme="0"/>
      <name val="Myriad Pro"/>
      <family val="2"/>
    </font>
    <font>
      <vertAlign val="superscript"/>
      <sz val="11"/>
      <color theme="1"/>
      <name val="Myriad Pro"/>
      <family val="2"/>
    </font>
    <font>
      <b/>
      <sz val="12"/>
      <color theme="1"/>
      <name val="Myriad Pro"/>
      <family val="2"/>
    </font>
    <font>
      <vertAlign val="subscript"/>
      <sz val="11"/>
      <color theme="1"/>
      <name val="Myriad Pro"/>
      <family val="2"/>
    </font>
    <font>
      <sz val="12"/>
      <name val="Myriad Pro"/>
      <family val="2"/>
    </font>
    <font>
      <i/>
      <sz val="11"/>
      <name val="Myriad Pro"/>
      <family val="2"/>
    </font>
    <font>
      <i/>
      <sz val="11"/>
      <color theme="1"/>
      <name val="Myriad Pro"/>
      <family val="2"/>
    </font>
    <font>
      <i/>
      <vertAlign val="subscript"/>
      <sz val="11"/>
      <color theme="1"/>
      <name val="Myriad Pro"/>
      <family val="2"/>
    </font>
    <font>
      <vertAlign val="superscript"/>
      <sz val="11"/>
      <name val="Myriad Pro"/>
      <family val="2"/>
    </font>
    <font>
      <b/>
      <sz val="11"/>
      <name val="Myriad Pro"/>
      <family val="2"/>
    </font>
    <font>
      <vertAlign val="subscript"/>
      <sz val="11"/>
      <name val="Myriad Pro"/>
      <family val="2"/>
    </font>
    <font>
      <b/>
      <sz val="12"/>
      <color rgb="FF00A039"/>
      <name val="Myriad Pro"/>
      <family val="2"/>
    </font>
    <font>
      <sz val="11"/>
      <color rgb="FF00A039"/>
      <name val="Wingdings"/>
      <charset val="2"/>
    </font>
    <font>
      <sz val="7"/>
      <color rgb="FF00A039"/>
      <name val="Times New Roman"/>
      <family val="1"/>
    </font>
    <font>
      <b/>
      <sz val="12"/>
      <color rgb="FF225B83"/>
      <name val="Myriad Pro"/>
      <family val="2"/>
    </font>
    <font>
      <b/>
      <sz val="11"/>
      <color rgb="FF1E7EAA"/>
      <name val="Myriad Pro"/>
      <family val="2"/>
    </font>
    <font>
      <b/>
      <vertAlign val="subscript"/>
      <sz val="11"/>
      <name val="Myriad Pro"/>
      <family val="2"/>
    </font>
    <font>
      <u/>
      <sz val="11"/>
      <name val="Myriad Pro"/>
      <family val="2"/>
    </font>
    <font>
      <i/>
      <vertAlign val="subscript"/>
      <sz val="11"/>
      <name val="Myriad Pro"/>
      <family val="2"/>
    </font>
    <font>
      <b/>
      <vertAlign val="subscript"/>
      <sz val="11"/>
      <color theme="1"/>
      <name val="Myriad Pro"/>
      <family val="2"/>
    </font>
    <font>
      <sz val="9"/>
      <color theme="1"/>
      <name val="Calibri"/>
      <family val="2"/>
      <scheme val="minor"/>
    </font>
    <font>
      <b/>
      <sz val="11"/>
      <color rgb="FF00A039"/>
      <name val="Myriad Pro"/>
      <family val="2"/>
    </font>
    <font>
      <sz val="11"/>
      <color rgb="FFFF0000"/>
      <name val="Calibri"/>
      <family val="2"/>
      <scheme val="minor"/>
    </font>
    <font>
      <sz val="8"/>
      <color theme="1"/>
      <name val="Calibri"/>
      <family val="2"/>
      <scheme val="minor"/>
    </font>
    <font>
      <vertAlign val="subscript"/>
      <sz val="10"/>
      <name val="Arial"/>
      <family val="2"/>
    </font>
    <font>
      <b/>
      <u/>
      <sz val="10"/>
      <name val="Arial"/>
      <family val="2"/>
    </font>
    <font>
      <sz val="10"/>
      <color theme="1"/>
      <name val="Arial"/>
      <family val="2"/>
    </font>
    <font>
      <sz val="11"/>
      <name val="Calibri"/>
      <family val="2"/>
      <scheme val="minor"/>
    </font>
    <font>
      <sz val="10"/>
      <color indexed="10"/>
      <name val="Arial"/>
      <family val="2"/>
    </font>
    <font>
      <b/>
      <sz val="11"/>
      <name val="Arial"/>
      <family val="2"/>
    </font>
    <font>
      <sz val="12"/>
      <name val="Arial"/>
      <family val="2"/>
    </font>
    <font>
      <sz val="10"/>
      <color theme="1"/>
      <name val="Calibri"/>
      <family val="2"/>
      <scheme val="minor"/>
    </font>
    <font>
      <i/>
      <sz val="11"/>
      <color theme="1"/>
      <name val="Calibri"/>
      <family val="2"/>
      <scheme val="minor"/>
    </font>
    <font>
      <i/>
      <vertAlign val="subscript"/>
      <sz val="11"/>
      <color theme="1"/>
      <name val="Calibri"/>
      <family val="2"/>
      <scheme val="minor"/>
    </font>
    <font>
      <i/>
      <sz val="12"/>
      <color theme="1"/>
      <name val="Calibri"/>
      <family val="2"/>
      <scheme val="minor"/>
    </font>
    <font>
      <i/>
      <sz val="10"/>
      <color theme="1"/>
      <name val="Myriad Pro"/>
      <family val="2"/>
    </font>
    <font>
      <sz val="9"/>
      <color theme="1"/>
      <name val="Myriad Pro"/>
      <family val="2"/>
    </font>
    <font>
      <vertAlign val="subscript"/>
      <sz val="11"/>
      <color theme="1"/>
      <name val="Calibri"/>
      <family val="2"/>
      <scheme val="minor"/>
    </font>
    <font>
      <u/>
      <sz val="11"/>
      <color theme="10"/>
      <name val="Calibri"/>
      <family val="2"/>
      <scheme val="minor"/>
    </font>
    <font>
      <sz val="11"/>
      <color theme="3" tint="-0.499984740745262"/>
      <name val="Myriad Pro"/>
      <family val="2"/>
    </font>
    <font>
      <i/>
      <sz val="11"/>
      <color rgb="FFFF0000"/>
      <name val="Myriad Pro"/>
      <family val="2"/>
    </font>
    <font>
      <sz val="11"/>
      <color rgb="FFFF0000"/>
      <name val="Myriad Pro"/>
      <family val="2"/>
    </font>
    <font>
      <u/>
      <sz val="11"/>
      <color theme="1"/>
      <name val="Myriad Pro"/>
      <family val="2"/>
    </font>
    <font>
      <b/>
      <sz val="11"/>
      <color rgb="FFFF0000"/>
      <name val="Myriad Pro"/>
      <family val="2"/>
    </font>
    <font>
      <sz val="11"/>
      <color rgb="FF000000"/>
      <name val="Myriad Pro"/>
      <family val="2"/>
    </font>
    <font>
      <b/>
      <i/>
      <sz val="12"/>
      <name val="Myriad Pro"/>
      <family val="2"/>
    </font>
    <font>
      <sz val="12"/>
      <color theme="1"/>
      <name val="Myriad Pro"/>
      <family val="2"/>
    </font>
    <font>
      <b/>
      <sz val="11"/>
      <color rgb="FF00B050"/>
      <name val="Myriad Pro"/>
      <family val="2"/>
    </font>
    <font>
      <b/>
      <i/>
      <sz val="11"/>
      <color theme="1"/>
      <name val="Myriad Pro"/>
      <family val="2"/>
    </font>
    <font>
      <b/>
      <i/>
      <vertAlign val="subscript"/>
      <sz val="11"/>
      <color theme="1"/>
      <name val="Myriad Pro"/>
      <family val="2"/>
    </font>
    <font>
      <b/>
      <sz val="14"/>
      <name val="Calibri"/>
      <family val="2"/>
      <scheme val="minor"/>
    </font>
    <font>
      <b/>
      <sz val="11"/>
      <name val="Calibri"/>
      <family val="2"/>
      <scheme val="minor"/>
    </font>
    <font>
      <sz val="10"/>
      <name val="Myriad Pro"/>
      <family val="2"/>
    </font>
    <font>
      <sz val="11"/>
      <color rgb="FFC00000"/>
      <name val="Myriad Pro"/>
      <family val="2"/>
    </font>
    <font>
      <b/>
      <sz val="14"/>
      <color theme="1"/>
      <name val="Myriad Pro"/>
      <family val="2"/>
    </font>
    <font>
      <b/>
      <sz val="10"/>
      <name val="Myriad Pro"/>
      <family val="2"/>
    </font>
    <font>
      <b/>
      <vertAlign val="subscript"/>
      <sz val="10"/>
      <name val="Myriad Pro"/>
      <family val="2"/>
    </font>
    <font>
      <b/>
      <vertAlign val="subscript"/>
      <sz val="12"/>
      <name val="Myriad Pro"/>
      <family val="2"/>
    </font>
    <font>
      <b/>
      <sz val="12"/>
      <color rgb="FFFF0000"/>
      <name val="Myriad Pro"/>
      <family val="2"/>
    </font>
    <font>
      <sz val="10"/>
      <color rgb="FFFF0000"/>
      <name val="Myriad Pro"/>
      <family val="2"/>
    </font>
    <font>
      <u/>
      <sz val="10"/>
      <name val="Myriad Pro"/>
      <family val="2"/>
    </font>
    <font>
      <b/>
      <sz val="12"/>
      <color rgb="FF003978"/>
      <name val="Wingdings"/>
      <charset val="2"/>
    </font>
    <font>
      <b/>
      <sz val="12"/>
      <color rgb="FF00B050"/>
      <name val="Wingdings"/>
      <charset val="2"/>
    </font>
    <font>
      <i/>
      <sz val="11"/>
      <color rgb="FF000000"/>
      <name val="Myriad Pro"/>
      <family val="2"/>
    </font>
    <font>
      <b/>
      <i/>
      <sz val="11"/>
      <color rgb="FF000000"/>
      <name val="Myriad Pro"/>
      <family val="2"/>
    </font>
    <font>
      <b/>
      <i/>
      <vertAlign val="subscript"/>
      <sz val="11"/>
      <color rgb="FF000000"/>
      <name val="Myriad Pro"/>
      <family val="2"/>
    </font>
    <font>
      <sz val="14"/>
      <name val="Myriad Pro"/>
      <family val="2"/>
    </font>
    <font>
      <b/>
      <u/>
      <sz val="12"/>
      <color rgb="FF1E7EAA"/>
      <name val="Myriad Pro"/>
      <family val="2"/>
    </font>
    <font>
      <b/>
      <i/>
      <sz val="11"/>
      <name val="Myriad Pro"/>
      <family val="2"/>
    </font>
    <font>
      <b/>
      <sz val="11"/>
      <color theme="0"/>
      <name val="Myriad Pro"/>
      <family val="2"/>
    </font>
    <font>
      <b/>
      <u/>
      <sz val="11"/>
      <color rgb="FF00B050"/>
      <name val="Myriad Pro"/>
      <family val="2"/>
    </font>
    <font>
      <b/>
      <sz val="11"/>
      <color theme="3" tint="-0.499984740745262"/>
      <name val="Myriad Pro"/>
      <family val="2"/>
    </font>
    <font>
      <b/>
      <i/>
      <vertAlign val="subscript"/>
      <sz val="12"/>
      <name val="Myriad Pro"/>
      <family val="2"/>
    </font>
    <font>
      <i/>
      <sz val="9"/>
      <color indexed="81"/>
      <name val="Tahoma"/>
      <family val="2"/>
    </font>
    <font>
      <b/>
      <vertAlign val="subscript"/>
      <sz val="12"/>
      <color theme="1"/>
      <name val="Myriad Pro"/>
      <family val="2"/>
    </font>
    <font>
      <u/>
      <sz val="11"/>
      <color theme="10"/>
      <name val="Myriad Pro"/>
      <family val="2"/>
    </font>
    <font>
      <b/>
      <sz val="12"/>
      <color rgb="FF003978"/>
      <name val="Myriad Pro"/>
      <family val="2"/>
    </font>
    <font>
      <b/>
      <i/>
      <vertAlign val="subscript"/>
      <sz val="11"/>
      <name val="Myriad Pro"/>
      <family val="2"/>
    </font>
    <font>
      <b/>
      <sz val="12"/>
      <color rgb="FF000000"/>
      <name val="Myriad Pro"/>
      <family val="2"/>
    </font>
    <font>
      <b/>
      <vertAlign val="subscript"/>
      <sz val="12"/>
      <color rgb="FF000000"/>
      <name val="Myriad Pro"/>
      <family val="2"/>
    </font>
    <font>
      <vertAlign val="subscript"/>
      <sz val="10"/>
      <name val="Myriad Pro"/>
      <family val="2"/>
    </font>
    <font>
      <u/>
      <sz val="10"/>
      <color theme="10"/>
      <name val="Calibri"/>
      <family val="2"/>
      <scheme val="minor"/>
    </font>
    <font>
      <u/>
      <sz val="10"/>
      <color theme="10"/>
      <name val="Myriad Pro"/>
      <family val="2"/>
    </font>
    <font>
      <sz val="10"/>
      <color theme="3" tint="-0.499984740745262"/>
      <name val="Myriad Pro"/>
      <family val="2"/>
    </font>
    <font>
      <b/>
      <vertAlign val="subscript"/>
      <sz val="11"/>
      <color rgb="FF00B050"/>
      <name val="Myriad Pro"/>
      <family val="2"/>
    </font>
    <font>
      <u/>
      <sz val="11"/>
      <color theme="11"/>
      <name val="Calibri"/>
      <family val="2"/>
      <scheme val="minor"/>
    </font>
    <font>
      <i/>
      <sz val="11"/>
      <color rgb="FFFF0000"/>
      <name val="Calibri"/>
      <family val="2"/>
      <scheme val="minor"/>
    </font>
    <font>
      <b/>
      <sz val="12"/>
      <color rgb="FF1E7EAA"/>
      <name val="Myriad Pro"/>
      <family val="2"/>
    </font>
    <font>
      <b/>
      <vertAlign val="subscript"/>
      <sz val="11"/>
      <color rgb="FF1E7EAA"/>
      <name val="Myriad Pro"/>
      <family val="2"/>
    </font>
    <font>
      <b/>
      <i/>
      <vertAlign val="subscript"/>
      <sz val="11"/>
      <color rgb="FF1E7EAA"/>
      <name val="Myriad Pro"/>
      <family val="2"/>
    </font>
    <font>
      <sz val="9"/>
      <name val="Myriad Pro"/>
      <family val="2"/>
    </font>
    <font>
      <b/>
      <sz val="9"/>
      <color rgb="FF1E7EAA"/>
      <name val="Myriad Pro"/>
      <family val="2"/>
    </font>
    <font>
      <sz val="11"/>
      <color rgb="FF003978"/>
      <name val="Calibri"/>
      <family val="2"/>
      <scheme val="minor"/>
    </font>
    <font>
      <b/>
      <sz val="11"/>
      <color rgb="FF003978"/>
      <name val="Myriad Pro"/>
      <family val="2"/>
    </font>
    <font>
      <b/>
      <i/>
      <sz val="11"/>
      <color rgb="FF003978"/>
      <name val="Myriad Pro"/>
      <family val="2"/>
    </font>
    <font>
      <u/>
      <sz val="11"/>
      <color rgb="FF003978"/>
      <name val="Myriad Pro"/>
      <family val="2"/>
    </font>
    <font>
      <vertAlign val="subscript"/>
      <sz val="11"/>
      <color theme="0"/>
      <name val="Myriad Pro"/>
      <family val="2"/>
    </font>
    <font>
      <sz val="12"/>
      <color rgb="FF003978"/>
      <name val="Myriad Pro"/>
      <family val="2"/>
    </font>
    <font>
      <i/>
      <sz val="10"/>
      <name val="Myriad Pro"/>
      <family val="2"/>
    </font>
    <font>
      <b/>
      <i/>
      <sz val="11"/>
      <color rgb="FF1E7EAA"/>
      <name val="Myriad Pro"/>
      <family val="2"/>
    </font>
    <font>
      <b/>
      <sz val="11"/>
      <color theme="0" tint="-0.499984740745262"/>
      <name val="Myriad Pro"/>
      <family val="2"/>
    </font>
    <font>
      <b/>
      <i/>
      <sz val="11"/>
      <color theme="0"/>
      <name val="Myriad Pro"/>
      <family val="2"/>
    </font>
    <font>
      <b/>
      <i/>
      <vertAlign val="subscript"/>
      <sz val="11"/>
      <color theme="0"/>
      <name val="Myriad Pro"/>
      <family val="2"/>
    </font>
    <font>
      <i/>
      <sz val="11"/>
      <color theme="0"/>
      <name val="Myriad Pro"/>
      <family val="2"/>
    </font>
    <font>
      <i/>
      <vertAlign val="subscript"/>
      <sz val="11"/>
      <color theme="0"/>
      <name val="Myriad Pro"/>
      <family val="2"/>
    </font>
    <font>
      <b/>
      <i/>
      <sz val="12"/>
      <color rgb="FF003978"/>
      <name val="Myriad Pro"/>
      <family val="2"/>
    </font>
    <font>
      <b/>
      <i/>
      <vertAlign val="subscript"/>
      <sz val="12"/>
      <color rgb="FF003978"/>
      <name val="Myriad Pro"/>
      <family val="2"/>
    </font>
    <font>
      <b/>
      <sz val="12"/>
      <name val="Arial"/>
      <family val="2"/>
    </font>
    <font>
      <b/>
      <sz val="11"/>
      <color theme="3"/>
      <name val="Myriad Pro"/>
      <family val="2"/>
    </font>
    <font>
      <sz val="11"/>
      <color rgb="FF00B050"/>
      <name val="Calibri"/>
      <family val="2"/>
      <scheme val="minor"/>
    </font>
    <font>
      <b/>
      <u/>
      <sz val="11"/>
      <color theme="3"/>
      <name val="Myriad Pro"/>
      <family val="2"/>
    </font>
    <font>
      <b/>
      <sz val="11"/>
      <color rgb="FF000000"/>
      <name val="Myriad Pro"/>
      <family val="2"/>
    </font>
    <font>
      <b/>
      <vertAlign val="subscript"/>
      <sz val="11"/>
      <color rgb="FF000000"/>
      <name val="Myriad Pro"/>
      <family val="2"/>
    </font>
    <font>
      <b/>
      <vertAlign val="superscript"/>
      <sz val="12"/>
      <name val="Myriad Pro"/>
      <family val="2"/>
    </font>
    <font>
      <sz val="11"/>
      <color rgb="FFFDC300"/>
      <name val="Calibri"/>
      <family val="2"/>
      <scheme val="minor"/>
    </font>
    <font>
      <b/>
      <sz val="11"/>
      <color theme="1" tint="0.34998626667073579"/>
      <name val="Myriad Pro"/>
      <family val="2"/>
    </font>
    <font>
      <b/>
      <sz val="8"/>
      <color indexed="81"/>
      <name val="Tahoma"/>
      <family val="2"/>
    </font>
    <font>
      <sz val="10"/>
      <color indexed="81"/>
      <name val="Tahoma"/>
      <family val="2"/>
    </font>
    <font>
      <sz val="11"/>
      <color rgb="FF002060"/>
      <name val="Myriad Pro"/>
      <family val="2"/>
    </font>
  </fonts>
  <fills count="31">
    <fill>
      <patternFill patternType="none"/>
    </fill>
    <fill>
      <patternFill patternType="gray125"/>
    </fill>
    <fill>
      <patternFill patternType="solid">
        <fgColor rgb="FFFFCC99"/>
      </patternFill>
    </fill>
    <fill>
      <patternFill patternType="solid">
        <fgColor rgb="FFF2F2F2"/>
      </patternFill>
    </fill>
    <fill>
      <patternFill patternType="solid">
        <fgColor theme="6" tint="0.59999389629810485"/>
        <bgColor indexed="64"/>
      </patternFill>
    </fill>
    <fill>
      <patternFill patternType="solid">
        <fgColor theme="0"/>
        <bgColor indexed="64"/>
      </patternFill>
    </fill>
    <fill>
      <patternFill patternType="solid">
        <fgColor theme="6" tint="0.59999389629810485"/>
        <bgColor indexed="65"/>
      </patternFill>
    </fill>
    <fill>
      <patternFill patternType="solid">
        <fgColor indexed="50"/>
        <bgColor indexed="64"/>
      </patternFill>
    </fill>
    <fill>
      <patternFill patternType="solid">
        <fgColor theme="9" tint="0.59996337778862885"/>
        <bgColor indexed="64"/>
      </patternFill>
    </fill>
    <fill>
      <patternFill patternType="solid">
        <fgColor indexed="44"/>
        <bgColor indexed="64"/>
      </patternFill>
    </fill>
    <fill>
      <patternFill patternType="solid">
        <fgColor rgb="FFF7710D"/>
        <bgColor indexed="64"/>
      </patternFill>
    </fill>
    <fill>
      <patternFill patternType="solid">
        <fgColor rgb="FFFFFF00"/>
        <bgColor indexed="64"/>
      </patternFill>
    </fill>
    <fill>
      <patternFill patternType="solid">
        <fgColor indexed="30"/>
        <bgColor indexed="64"/>
      </patternFill>
    </fill>
    <fill>
      <patternFill patternType="solid">
        <fgColor indexed="22"/>
        <bgColor indexed="9"/>
      </patternFill>
    </fill>
    <fill>
      <patternFill patternType="solid">
        <fgColor indexed="22"/>
        <bgColor indexed="64"/>
      </patternFill>
    </fill>
    <fill>
      <patternFill patternType="darkTrellis"/>
    </fill>
    <fill>
      <patternFill patternType="solid">
        <fgColor indexed="22"/>
        <bgColor indexed="55"/>
      </patternFill>
    </fill>
    <fill>
      <patternFill patternType="solid">
        <fgColor rgb="FF95C11E"/>
        <bgColor indexed="64"/>
      </patternFill>
    </fill>
    <fill>
      <patternFill patternType="solid">
        <fgColor rgb="FF003978"/>
        <bgColor indexed="64"/>
      </patternFill>
    </fill>
    <fill>
      <patternFill patternType="solid">
        <fgColor rgb="FFFFC000"/>
        <bgColor indexed="64"/>
      </patternFill>
    </fill>
    <fill>
      <patternFill patternType="solid">
        <fgColor rgb="FFFDC300"/>
        <bgColor indexed="64"/>
      </patternFill>
    </fill>
    <fill>
      <patternFill patternType="solid">
        <fgColor rgb="FF1E7EAA"/>
        <bgColor indexed="64"/>
      </patternFill>
    </fill>
    <fill>
      <patternFill patternType="solid">
        <fgColor rgb="FF00A039"/>
        <bgColor indexed="64"/>
      </patternFill>
    </fill>
    <fill>
      <patternFill patternType="solid">
        <fgColor theme="0" tint="-4.9989318521683403E-2"/>
        <bgColor indexed="64"/>
      </patternFill>
    </fill>
    <fill>
      <patternFill patternType="solid">
        <fgColor rgb="FF31A6DB"/>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rgb="FF00B050"/>
        <bgColor indexed="64"/>
      </patternFill>
    </fill>
    <fill>
      <patternFill patternType="solid">
        <fgColor rgb="FF259FD5"/>
        <bgColor indexed="64"/>
      </patternFill>
    </fill>
    <fill>
      <patternFill patternType="solid">
        <fgColor indexed="9"/>
        <bgColor indexed="64"/>
      </patternFill>
    </fill>
    <fill>
      <patternFill patternType="solid">
        <fgColor theme="6"/>
        <bgColor indexed="64"/>
      </patternFill>
    </fill>
  </fills>
  <borders count="111">
    <border>
      <left/>
      <right/>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thin">
        <color auto="1"/>
      </right>
      <top style="thin">
        <color auto="1"/>
      </top>
      <bottom style="thin">
        <color auto="1"/>
      </bottom>
      <diagonal/>
    </border>
    <border>
      <left/>
      <right/>
      <top style="thin">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bottom style="double">
        <color auto="1"/>
      </bottom>
      <diagonal/>
    </border>
    <border>
      <left/>
      <right style="double">
        <color auto="1"/>
      </right>
      <top style="double">
        <color auto="1"/>
      </top>
      <bottom/>
      <diagonal/>
    </border>
    <border>
      <left/>
      <right style="double">
        <color auto="1"/>
      </right>
      <top/>
      <bottom/>
      <diagonal/>
    </border>
    <border>
      <left/>
      <right style="double">
        <color auto="1"/>
      </right>
      <top/>
      <bottom style="double">
        <color auto="1"/>
      </bottom>
      <diagonal/>
    </border>
    <border>
      <left/>
      <right/>
      <top style="double">
        <color auto="1"/>
      </top>
      <bottom/>
      <diagonal/>
    </border>
    <border>
      <left style="thin">
        <color auto="1"/>
      </left>
      <right style="thin">
        <color auto="1"/>
      </right>
      <top/>
      <bottom style="thin">
        <color auto="1"/>
      </bottom>
      <diagonal/>
    </border>
    <border>
      <left/>
      <right/>
      <top style="medium">
        <color auto="1"/>
      </top>
      <bottom style="medium">
        <color auto="1"/>
      </bottom>
      <diagonal/>
    </border>
    <border>
      <left style="double">
        <color auto="1"/>
      </left>
      <right/>
      <top/>
      <bottom style="double">
        <color auto="1"/>
      </bottom>
      <diagonal/>
    </border>
    <border>
      <left style="double">
        <color auto="1"/>
      </left>
      <right/>
      <top style="double">
        <color auto="1"/>
      </top>
      <bottom/>
      <diagonal/>
    </border>
    <border>
      <left style="double">
        <color auto="1"/>
      </left>
      <right/>
      <top/>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top/>
      <bottom style="thin">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style="medium">
        <color theme="0"/>
      </left>
      <right/>
      <top/>
      <bottom/>
      <diagonal/>
    </border>
    <border>
      <left/>
      <right style="medium">
        <color theme="0"/>
      </right>
      <top/>
      <bottom/>
      <diagonal/>
    </border>
    <border>
      <left/>
      <right/>
      <top/>
      <bottom style="medium">
        <color theme="0"/>
      </bottom>
      <diagonal/>
    </border>
    <border>
      <left/>
      <right/>
      <top/>
      <bottom style="thin">
        <color indexed="22"/>
      </bottom>
      <diagonal/>
    </border>
    <border>
      <left/>
      <right/>
      <top/>
      <bottom style="hair">
        <color auto="1"/>
      </bottom>
      <diagonal/>
    </border>
    <border>
      <left/>
      <right/>
      <top/>
      <bottom style="thin">
        <color indexed="22"/>
      </bottom>
      <diagonal/>
    </border>
    <border>
      <left/>
      <right/>
      <top/>
      <bottom style="hair">
        <color indexed="8"/>
      </bottom>
      <diagonal/>
    </border>
    <border>
      <left/>
      <right style="thin">
        <color auto="1"/>
      </right>
      <top style="thin">
        <color auto="1"/>
      </top>
      <bottom style="thin">
        <color auto="1"/>
      </bottom>
      <diagonal/>
    </border>
    <border>
      <left style="medium">
        <color theme="0"/>
      </left>
      <right style="double">
        <color auto="1"/>
      </right>
      <top/>
      <bottom/>
      <diagonal/>
    </border>
    <border>
      <left/>
      <right/>
      <top style="medium">
        <color theme="0"/>
      </top>
      <bottom style="medium">
        <color auto="1"/>
      </bottom>
      <diagonal/>
    </border>
    <border>
      <left style="double">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right style="medium">
        <color auto="1"/>
      </right>
      <top/>
      <bottom style="thin">
        <color auto="1"/>
      </bottom>
      <diagonal/>
    </border>
    <border>
      <left/>
      <right/>
      <top style="thin">
        <color auto="1"/>
      </top>
      <bottom style="double">
        <color auto="1"/>
      </bottom>
      <diagonal/>
    </border>
    <border>
      <left style="thin">
        <color auto="1"/>
      </left>
      <right style="thin">
        <color auto="1"/>
      </right>
      <top/>
      <bottom style="double">
        <color auto="1"/>
      </bottom>
      <diagonal/>
    </border>
    <border>
      <left style="thin">
        <color auto="1"/>
      </left>
      <right/>
      <top/>
      <bottom style="double">
        <color auto="1"/>
      </bottom>
      <diagonal/>
    </border>
    <border>
      <left/>
      <right style="thin">
        <color auto="1"/>
      </right>
      <top style="medium">
        <color auto="1"/>
      </top>
      <bottom style="thin">
        <color auto="1"/>
      </bottom>
      <diagonal/>
    </border>
    <border>
      <left/>
      <right/>
      <top style="thin">
        <color auto="1"/>
      </top>
      <bottom style="medium">
        <color auto="1"/>
      </bottom>
      <diagonal/>
    </border>
    <border>
      <left style="thin">
        <color auto="1"/>
      </left>
      <right/>
      <top/>
      <bottom style="thin">
        <color auto="1"/>
      </bottom>
      <diagonal/>
    </border>
    <border>
      <left/>
      <right style="medium">
        <color auto="1"/>
      </right>
      <top style="thin">
        <color auto="1"/>
      </top>
      <bottom/>
      <diagonal/>
    </border>
    <border>
      <left style="medium">
        <color theme="0"/>
      </left>
      <right/>
      <top/>
      <bottom style="double">
        <color auto="1"/>
      </bottom>
      <diagonal/>
    </border>
    <border>
      <left/>
      <right style="medium">
        <color theme="0"/>
      </right>
      <top/>
      <bottom style="double">
        <color auto="1"/>
      </bottom>
      <diagonal/>
    </border>
    <border>
      <left style="medium">
        <color auto="1"/>
      </left>
      <right style="thin">
        <color auto="1"/>
      </right>
      <top style="medium">
        <color auto="1"/>
      </top>
      <bottom/>
      <diagonal/>
    </border>
    <border>
      <left style="medium">
        <color auto="1"/>
      </left>
      <right style="thin">
        <color auto="1"/>
      </right>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right style="medium">
        <color auto="1"/>
      </right>
      <top style="thin">
        <color auto="1"/>
      </top>
      <bottom style="medium">
        <color auto="1"/>
      </bottom>
      <diagonal/>
    </border>
    <border>
      <left style="medium">
        <color auto="1"/>
      </left>
      <right/>
      <top/>
      <bottom style="thin">
        <color auto="1"/>
      </bottom>
      <diagonal/>
    </border>
    <border>
      <left/>
      <right style="double">
        <color auto="1"/>
      </right>
      <top/>
      <bottom style="medium">
        <color auto="1"/>
      </bottom>
      <diagonal/>
    </border>
    <border>
      <left style="thin">
        <color auto="1"/>
      </left>
      <right style="medium">
        <color auto="1"/>
      </right>
      <top style="medium">
        <color auto="1"/>
      </top>
      <bottom/>
      <diagonal/>
    </border>
    <border>
      <left style="thin">
        <color auto="1"/>
      </left>
      <right style="medium">
        <color auto="1"/>
      </right>
      <top/>
      <bottom style="thin">
        <color auto="1"/>
      </bottom>
      <diagonal/>
    </border>
    <border>
      <left style="medium">
        <color auto="1"/>
      </left>
      <right/>
      <top style="thin">
        <color auto="1"/>
      </top>
      <bottom style="medium">
        <color auto="1"/>
      </bottom>
      <diagonal/>
    </border>
    <border>
      <left style="thin">
        <color auto="1"/>
      </left>
      <right/>
      <top style="medium">
        <color auto="1"/>
      </top>
      <bottom/>
      <diagonal/>
    </border>
    <border>
      <left style="double">
        <color auto="1"/>
      </left>
      <right style="medium">
        <color auto="1"/>
      </right>
      <top/>
      <bottom/>
      <diagonal/>
    </border>
    <border>
      <left/>
      <right style="thin">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medium">
        <color indexed="64"/>
      </right>
      <top/>
      <bottom/>
      <diagonal/>
    </border>
    <border>
      <left style="medium">
        <color indexed="64"/>
      </left>
      <right style="double">
        <color auto="1"/>
      </right>
      <top/>
      <bottom/>
      <diagonal/>
    </border>
    <border>
      <left/>
      <right/>
      <top/>
      <bottom style="thin">
        <color indexed="64"/>
      </bottom>
      <diagonal/>
    </border>
    <border>
      <left style="thin">
        <color auto="1"/>
      </left>
      <right style="medium">
        <color indexed="64"/>
      </right>
      <top style="thin">
        <color auto="1"/>
      </top>
      <bottom/>
      <diagonal/>
    </border>
    <border>
      <left style="medium">
        <color auto="1"/>
      </left>
      <right style="medium">
        <color auto="1"/>
      </right>
      <top/>
      <bottom/>
      <diagonal/>
    </border>
    <border>
      <left/>
      <right/>
      <top/>
      <bottom style="thin">
        <color indexed="64"/>
      </bottom>
      <diagonal/>
    </border>
    <border>
      <left/>
      <right style="medium">
        <color indexed="64"/>
      </right>
      <top/>
      <bottom style="thin">
        <color indexed="64"/>
      </bottom>
      <diagonal/>
    </border>
    <border>
      <left style="thin">
        <color auto="1"/>
      </left>
      <right/>
      <top/>
      <bottom style="thin">
        <color auto="1"/>
      </bottom>
      <diagonal/>
    </border>
    <border>
      <left style="thin">
        <color auto="1"/>
      </left>
      <right style="thin">
        <color auto="1"/>
      </right>
      <top style="medium">
        <color auto="1"/>
      </top>
      <bottom/>
      <diagonal/>
    </border>
    <border>
      <left style="thick">
        <color theme="0"/>
      </left>
      <right style="thick">
        <color theme="0"/>
      </right>
      <top style="thick">
        <color theme="0"/>
      </top>
      <bottom style="thick">
        <color theme="0"/>
      </bottom>
      <diagonal/>
    </border>
    <border>
      <left style="thick">
        <color theme="0"/>
      </left>
      <right style="thick">
        <color theme="0"/>
      </right>
      <top/>
      <bottom style="thick">
        <color theme="0"/>
      </bottom>
      <diagonal/>
    </border>
    <border>
      <left/>
      <right style="thin">
        <color auto="1"/>
      </right>
      <top style="medium">
        <color auto="1"/>
      </top>
      <bottom/>
      <diagonal/>
    </border>
    <border>
      <left/>
      <right/>
      <top style="double">
        <color auto="1"/>
      </top>
      <bottom style="thin">
        <color auto="1"/>
      </bottom>
      <diagonal/>
    </border>
    <border>
      <left style="double">
        <color auto="1"/>
      </left>
      <right/>
      <top/>
      <bottom style="thin">
        <color indexed="64"/>
      </bottom>
      <diagonal/>
    </border>
    <border>
      <left/>
      <right/>
      <top/>
      <bottom style="thin">
        <color indexed="64"/>
      </bottom>
      <diagonal/>
    </border>
    <border>
      <left/>
      <right style="double">
        <color auto="1"/>
      </right>
      <top/>
      <bottom style="thin">
        <color indexed="64"/>
      </bottom>
      <diagonal/>
    </border>
    <border>
      <left/>
      <right style="double">
        <color auto="1"/>
      </right>
      <top style="thin">
        <color indexed="64"/>
      </top>
      <bottom/>
      <diagonal/>
    </border>
    <border>
      <left style="double">
        <color auto="1"/>
      </left>
      <right/>
      <top style="thin">
        <color indexed="64"/>
      </top>
      <bottom/>
      <diagonal/>
    </border>
    <border>
      <left/>
      <right/>
      <top style="thin">
        <color indexed="64"/>
      </top>
      <bottom style="medium">
        <color theme="0"/>
      </bottom>
      <diagonal/>
    </border>
  </borders>
  <cellStyleXfs count="147">
    <xf numFmtId="0" fontId="0" fillId="0" borderId="0"/>
    <xf numFmtId="0" fontId="1" fillId="2" borderId="1" applyNumberFormat="0" applyAlignment="0" applyProtection="0"/>
    <xf numFmtId="0" fontId="2" fillId="3" borderId="2" applyNumberFormat="0" applyAlignment="0" applyProtection="0"/>
    <xf numFmtId="44" fontId="4" fillId="0" borderId="0" applyFont="0" applyFill="0" applyBorder="0" applyAlignment="0" applyProtection="0"/>
    <xf numFmtId="49" fontId="11" fillId="0" borderId="11" applyNumberFormat="0" applyFont="0" applyFill="0" applyBorder="0" applyProtection="0">
      <alignment horizontal="left" vertical="center" indent="2"/>
    </xf>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49" fontId="11" fillId="0" borderId="13" applyNumberFormat="0" applyFont="0" applyFill="0" applyBorder="0" applyProtection="0">
      <alignment horizontal="left" vertical="center" indent="5"/>
    </xf>
    <xf numFmtId="0" fontId="12" fillId="7" borderId="0" applyNumberFormat="0" applyFont="0" applyBorder="0" applyAlignment="0" applyProtection="0"/>
    <xf numFmtId="4" fontId="13" fillId="0" borderId="26" applyFill="0" applyBorder="0" applyProtection="0">
      <alignment horizontal="right" vertical="center"/>
    </xf>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167" fontId="12" fillId="0" borderId="0" applyFont="0" applyFill="0" applyBorder="0" applyAlignment="0" applyProtection="0"/>
    <xf numFmtId="43" fontId="4"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166" fontId="12" fillId="0" borderId="0" applyFont="0" applyFill="0" applyBorder="0" applyAlignment="0" applyProtection="0"/>
    <xf numFmtId="3" fontId="12" fillId="0" borderId="0" applyFont="0" applyFill="0" applyBorder="0" applyAlignment="0" applyProtection="0"/>
    <xf numFmtId="0" fontId="14" fillId="0" borderId="0">
      <alignment horizontal="left" vertical="center" wrapText="1"/>
    </xf>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5" fontId="12" fillId="0" borderId="0" applyFont="0" applyFill="0" applyBorder="0" applyAlignment="0" applyProtection="0"/>
    <xf numFmtId="166" fontId="12" fillId="0" borderId="0" applyFont="0" applyFill="0" applyBorder="0" applyAlignment="0" applyProtection="0"/>
    <xf numFmtId="3" fontId="15" fillId="0" borderId="48" applyAlignment="0">
      <alignment horizontal="right" vertical="center"/>
    </xf>
    <xf numFmtId="168" fontId="15" fillId="0" borderId="48">
      <alignment horizontal="right" vertical="center"/>
    </xf>
    <xf numFmtId="49" fontId="16" fillId="0" borderId="48">
      <alignment horizontal="left" vertical="center"/>
    </xf>
    <xf numFmtId="169" fontId="17" fillId="0" borderId="48" applyNumberFormat="0" applyFill="0">
      <alignment horizontal="right"/>
    </xf>
    <xf numFmtId="170" fontId="17" fillId="0" borderId="48">
      <alignment horizontal="right"/>
    </xf>
    <xf numFmtId="0" fontId="12" fillId="0" borderId="0" applyFont="0" applyFill="0" applyBorder="0" applyAlignment="0" applyProtection="0"/>
    <xf numFmtId="0" fontId="12" fillId="8" borderId="0" applyNumberFormat="0" applyFont="0" applyBorder="0" applyAlignment="0">
      <protection locked="0"/>
    </xf>
    <xf numFmtId="0" fontId="12" fillId="9" borderId="0" applyNumberFormat="0" applyFont="0" applyBorder="0" applyAlignment="0" applyProtection="0"/>
    <xf numFmtId="0" fontId="12" fillId="10" borderId="0" applyNumberFormat="0" applyFont="0" applyBorder="0" applyAlignment="0" applyProtection="0"/>
    <xf numFmtId="0" fontId="12" fillId="11" borderId="0" applyNumberFormat="0" applyFont="0" applyBorder="0" applyAlignment="0" applyProtection="0"/>
    <xf numFmtId="3" fontId="18" fillId="12" borderId="0" applyNumberFormat="0" applyFont="0" applyBorder="0" applyAlignment="0" applyProtection="0"/>
    <xf numFmtId="171" fontId="12" fillId="0" borderId="0" applyFont="0" applyFill="0" applyBorder="0" applyAlignment="0" applyProtection="0"/>
    <xf numFmtId="172" fontId="19" fillId="5" borderId="0" applyNumberFormat="0" applyBorder="0" applyAlignment="0">
      <alignment horizontal="left" vertical="center"/>
    </xf>
    <xf numFmtId="2" fontId="12" fillId="0" borderId="0" applyFont="0" applyFill="0" applyBorder="0" applyAlignment="0" applyProtection="0"/>
    <xf numFmtId="0" fontId="20" fillId="0" borderId="0" applyNumberFormat="0" applyFill="0" applyBorder="0" applyAlignment="0" applyProtection="0"/>
    <xf numFmtId="0" fontId="21" fillId="0" borderId="48">
      <alignment horizontal="left"/>
    </xf>
    <xf numFmtId="0" fontId="21" fillId="0" borderId="49">
      <alignment horizontal="right" vertical="center"/>
    </xf>
    <xf numFmtId="0" fontId="22" fillId="0" borderId="48">
      <alignment horizontal="left" vertical="center"/>
    </xf>
    <xf numFmtId="0" fontId="17" fillId="0" borderId="48">
      <alignment horizontal="left" vertical="center"/>
    </xf>
    <xf numFmtId="0" fontId="23" fillId="0" borderId="48">
      <alignment horizontal="left"/>
    </xf>
    <xf numFmtId="0" fontId="23" fillId="13" borderId="0">
      <alignment horizontal="centerContinuous" wrapText="1"/>
    </xf>
    <xf numFmtId="49" fontId="23" fillId="13" borderId="34">
      <alignment horizontal="left" vertical="center"/>
    </xf>
    <xf numFmtId="0" fontId="23" fillId="13" borderId="0">
      <alignment horizontal="centerContinuous" vertical="center" wrapText="1"/>
    </xf>
    <xf numFmtId="0" fontId="24" fillId="0" borderId="0" applyNumberFormat="0" applyFill="0" applyBorder="0" applyAlignment="0" applyProtection="0">
      <alignment vertical="top"/>
      <protection locked="0"/>
    </xf>
    <xf numFmtId="0" fontId="25" fillId="0" borderId="0" applyNumberFormat="0" applyFill="0" applyBorder="0" applyAlignment="0" applyProtection="0">
      <alignment vertical="top"/>
      <protection locked="0"/>
    </xf>
    <xf numFmtId="41" fontId="26" fillId="0" borderId="0" applyFont="0" applyFill="0" applyBorder="0" applyAlignment="0" applyProtection="0"/>
    <xf numFmtId="43" fontId="26" fillId="0" borderId="0" applyFont="0" applyFill="0" applyBorder="0" applyAlignment="0" applyProtection="0"/>
    <xf numFmtId="173" fontId="12" fillId="0" borderId="0" applyFont="0" applyFill="0" applyBorder="0" applyAlignment="0" applyProtection="0"/>
    <xf numFmtId="9" fontId="26" fillId="0" borderId="0" applyFont="0" applyFill="0" applyBorder="0" applyAlignment="0" applyProtection="0"/>
    <xf numFmtId="174" fontId="26" fillId="0" borderId="0" applyFont="0" applyFill="0" applyBorder="0" applyAlignment="0" applyProtection="0"/>
    <xf numFmtId="0" fontId="12" fillId="0" borderId="0"/>
    <xf numFmtId="0" fontId="27" fillId="0" borderId="0"/>
    <xf numFmtId="0" fontId="4" fillId="0" borderId="0"/>
    <xf numFmtId="0" fontId="4" fillId="0" borderId="0"/>
    <xf numFmtId="0" fontId="12" fillId="0" borderId="0"/>
    <xf numFmtId="0" fontId="12" fillId="0" borderId="0"/>
    <xf numFmtId="0" fontId="12" fillId="0" borderId="0"/>
    <xf numFmtId="0" fontId="12" fillId="0" borderId="0"/>
    <xf numFmtId="0" fontId="12" fillId="0" borderId="0"/>
    <xf numFmtId="0" fontId="12" fillId="0" borderId="0"/>
    <xf numFmtId="49" fontId="13" fillId="0" borderId="11" applyNumberFormat="0" applyFill="0" applyBorder="0" applyProtection="0">
      <alignment horizontal="left" vertical="center"/>
    </xf>
    <xf numFmtId="0" fontId="11" fillId="0" borderId="11" applyNumberFormat="0" applyFill="0" applyAlignment="0" applyProtection="0"/>
    <xf numFmtId="0" fontId="28" fillId="14" borderId="0" applyNumberFormat="0" applyFont="0" applyBorder="0" applyAlignment="0" applyProtection="0"/>
    <xf numFmtId="175" fontId="11" fillId="15" borderId="11" applyNumberFormat="0" applyFont="0" applyBorder="0" applyAlignment="0" applyProtection="0">
      <alignment horizontal="right" vertical="center"/>
    </xf>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9" fontId="12" fillId="0" borderId="0" applyFont="0" applyFill="0" applyBorder="0" applyAlignment="0" applyProtection="0"/>
    <xf numFmtId="3" fontId="15" fillId="0" borderId="0">
      <alignment horizontal="left" vertical="center"/>
    </xf>
    <xf numFmtId="0" fontId="29" fillId="0" borderId="0">
      <alignment horizontal="left" vertical="center"/>
    </xf>
    <xf numFmtId="164" fontId="12" fillId="0" borderId="0" applyFont="0" applyFill="0" applyBorder="0" applyAlignment="0" applyProtection="0"/>
    <xf numFmtId="43" fontId="12" fillId="0" borderId="0" applyFont="0" applyFill="0" applyBorder="0" applyAlignment="0" applyProtection="0"/>
    <xf numFmtId="0" fontId="28" fillId="0" borderId="0">
      <alignment horizontal="right"/>
    </xf>
    <xf numFmtId="49" fontId="28" fillId="0" borderId="0">
      <alignment horizontal="center"/>
    </xf>
    <xf numFmtId="0" fontId="16" fillId="0" borderId="0">
      <alignment horizontal="right"/>
    </xf>
    <xf numFmtId="0" fontId="28" fillId="0" borderId="0">
      <alignment horizontal="left"/>
    </xf>
    <xf numFmtId="0" fontId="11" fillId="0" borderId="0"/>
    <xf numFmtId="49" fontId="15" fillId="0" borderId="0">
      <alignment horizontal="left" vertical="center"/>
    </xf>
    <xf numFmtId="49" fontId="16" fillId="0" borderId="50">
      <alignment horizontal="left" vertical="center"/>
    </xf>
    <xf numFmtId="49" fontId="29" fillId="0" borderId="50" applyFill="0">
      <alignment horizontal="left" vertical="center"/>
    </xf>
    <xf numFmtId="169" fontId="15" fillId="0" borderId="0" applyNumberFormat="0">
      <alignment horizontal="right"/>
    </xf>
    <xf numFmtId="0" fontId="21" fillId="16" borderId="0">
      <alignment horizontal="centerContinuous" vertical="center" wrapText="1"/>
    </xf>
    <xf numFmtId="0" fontId="21" fillId="0" borderId="51">
      <alignment horizontal="left" vertical="center"/>
    </xf>
    <xf numFmtId="0" fontId="30" fillId="0" borderId="0">
      <alignment horizontal="left" vertical="top"/>
    </xf>
    <xf numFmtId="0" fontId="23" fillId="0" borderId="0">
      <alignment horizontal="left"/>
    </xf>
    <xf numFmtId="0" fontId="14" fillId="0" borderId="0">
      <alignment horizontal="left"/>
    </xf>
    <xf numFmtId="0" fontId="17" fillId="0" borderId="0">
      <alignment horizontal="left"/>
    </xf>
    <xf numFmtId="0" fontId="30" fillId="0" borderId="0">
      <alignment horizontal="left" vertical="top"/>
    </xf>
    <xf numFmtId="0" fontId="14" fillId="0" borderId="0">
      <alignment horizontal="left"/>
    </xf>
    <xf numFmtId="0" fontId="17" fillId="0" borderId="0">
      <alignment horizontal="left"/>
    </xf>
    <xf numFmtId="43" fontId="4" fillId="0" borderId="0" applyFont="0" applyFill="0" applyBorder="0" applyAlignment="0" applyProtection="0"/>
    <xf numFmtId="43" fontId="12" fillId="0" borderId="0" applyFont="0" applyFill="0" applyBorder="0" applyAlignment="0" applyProtection="0"/>
    <xf numFmtId="49" fontId="15" fillId="0" borderId="50">
      <alignment horizontal="left"/>
    </xf>
    <xf numFmtId="0" fontId="21" fillId="0" borderId="49">
      <alignment horizontal="left"/>
    </xf>
    <xf numFmtId="0" fontId="23" fillId="0" borderId="0">
      <alignment horizontal="left" vertical="center"/>
    </xf>
    <xf numFmtId="49" fontId="28" fillId="0" borderId="50">
      <alignment horizontal="left"/>
    </xf>
    <xf numFmtId="0" fontId="11" fillId="0" borderId="0"/>
    <xf numFmtId="43" fontId="4" fillId="0" borderId="0" applyFont="0" applyFill="0" applyBorder="0" applyAlignment="0" applyProtection="0"/>
    <xf numFmtId="9" fontId="4" fillId="0" borderId="0" applyFont="0" applyFill="0" applyBorder="0" applyAlignment="0" applyProtection="0"/>
    <xf numFmtId="0" fontId="81" fillId="0" borderId="0" applyNumberFormat="0" applyFill="0" applyBorder="0" applyAlignment="0" applyProtection="0"/>
    <xf numFmtId="0" fontId="81"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xf numFmtId="0" fontId="128" fillId="0" borderId="0" applyNumberFormat="0" applyFill="0" applyBorder="0" applyAlignment="0" applyProtection="0"/>
  </cellStyleXfs>
  <cellXfs count="2020">
    <xf numFmtId="0" fontId="0" fillId="0" borderId="0" xfId="0"/>
    <xf numFmtId="0" fontId="0" fillId="0" borderId="0" xfId="0" applyBorder="1"/>
    <xf numFmtId="0" fontId="0" fillId="5" borderId="0" xfId="0" applyFill="1"/>
    <xf numFmtId="0" fontId="0" fillId="5" borderId="0" xfId="0" applyFill="1" applyAlignment="1">
      <alignment horizontal="center"/>
    </xf>
    <xf numFmtId="0" fontId="0" fillId="5" borderId="23" xfId="0" applyFill="1" applyBorder="1"/>
    <xf numFmtId="0" fontId="0" fillId="5" borderId="0" xfId="0" applyFill="1" applyBorder="1"/>
    <xf numFmtId="0" fontId="0" fillId="0" borderId="0" xfId="0"/>
    <xf numFmtId="0" fontId="0" fillId="0" borderId="0" xfId="0" applyAlignment="1">
      <alignment horizontal="center" vertical="center"/>
    </xf>
    <xf numFmtId="0" fontId="0" fillId="0" borderId="0" xfId="0" applyAlignment="1">
      <alignment wrapText="1"/>
    </xf>
    <xf numFmtId="0" fontId="0" fillId="0" borderId="0" xfId="0" applyAlignment="1">
      <alignment horizontal="left" vertical="center"/>
    </xf>
    <xf numFmtId="0" fontId="0" fillId="0" borderId="0" xfId="0" applyAlignment="1">
      <alignment vertical="top" wrapText="1"/>
    </xf>
    <xf numFmtId="0" fontId="0" fillId="0" borderId="11" xfId="0" applyFill="1" applyBorder="1"/>
    <xf numFmtId="0" fontId="33" fillId="0" borderId="0" xfId="0" applyFont="1"/>
    <xf numFmtId="0" fontId="33" fillId="0" borderId="0" xfId="0" applyFont="1" applyBorder="1"/>
    <xf numFmtId="0" fontId="35" fillId="0" borderId="0" xfId="1" applyFont="1" applyFill="1" applyBorder="1"/>
    <xf numFmtId="0" fontId="33" fillId="5" borderId="0" xfId="0" applyFont="1" applyFill="1"/>
    <xf numFmtId="0" fontId="33" fillId="5" borderId="0" xfId="0" applyFont="1" applyFill="1" applyBorder="1"/>
    <xf numFmtId="0" fontId="35" fillId="5" borderId="0" xfId="1" applyFont="1" applyFill="1" applyBorder="1"/>
    <xf numFmtId="0" fontId="36" fillId="0" borderId="0" xfId="0" applyFont="1" applyFill="1" applyBorder="1" applyAlignment="1">
      <alignment horizontal="center"/>
    </xf>
    <xf numFmtId="0" fontId="0" fillId="0" borderId="0" xfId="0" applyFill="1"/>
    <xf numFmtId="0" fontId="43" fillId="18" borderId="0" xfId="0" applyFont="1" applyFill="1"/>
    <xf numFmtId="0" fontId="33" fillId="5" borderId="0" xfId="0" applyFont="1" applyFill="1" applyAlignment="1">
      <alignment horizontal="center"/>
    </xf>
    <xf numFmtId="0" fontId="47" fillId="0" borderId="23" xfId="0" applyFont="1" applyFill="1" applyBorder="1"/>
    <xf numFmtId="0" fontId="47" fillId="0" borderId="0" xfId="0" applyFont="1" applyFill="1"/>
    <xf numFmtId="0" fontId="47" fillId="0" borderId="0" xfId="0" applyFont="1" applyFill="1" applyBorder="1"/>
    <xf numFmtId="0" fontId="39" fillId="0" borderId="0" xfId="0" applyFont="1" applyFill="1" applyBorder="1"/>
    <xf numFmtId="165" fontId="47" fillId="0" borderId="0" xfId="0" applyNumberFormat="1" applyFont="1" applyFill="1" applyBorder="1" applyAlignment="1">
      <alignment horizontal="center"/>
    </xf>
    <xf numFmtId="0" fontId="39" fillId="0" borderId="0" xfId="0" applyFont="1" applyFill="1" applyBorder="1" applyAlignment="1"/>
    <xf numFmtId="0" fontId="39" fillId="0" borderId="23" xfId="0" applyFont="1" applyFill="1" applyBorder="1" applyAlignment="1"/>
    <xf numFmtId="0" fontId="52" fillId="0" borderId="0" xfId="0" applyFont="1" applyFill="1" applyBorder="1"/>
    <xf numFmtId="0" fontId="38" fillId="0" borderId="0" xfId="0" applyFont="1" applyFill="1" applyBorder="1"/>
    <xf numFmtId="0" fontId="38" fillId="0" borderId="0" xfId="0" applyFont="1" applyFill="1"/>
    <xf numFmtId="0" fontId="38" fillId="0" borderId="23" xfId="0" applyFont="1" applyFill="1" applyBorder="1"/>
    <xf numFmtId="0" fontId="38" fillId="0" borderId="0" xfId="0" applyFont="1" applyFill="1" applyAlignment="1">
      <alignment horizontal="center"/>
    </xf>
    <xf numFmtId="0" fontId="33" fillId="0" borderId="0" xfId="0" applyFont="1" applyBorder="1" applyAlignment="1"/>
    <xf numFmtId="0" fontId="57" fillId="0" borderId="0" xfId="0" applyFont="1"/>
    <xf numFmtId="0" fontId="42" fillId="22" borderId="0" xfId="0" applyFont="1" applyFill="1"/>
    <xf numFmtId="0" fontId="45" fillId="17" borderId="3" xfId="0" applyFont="1" applyFill="1" applyBorder="1"/>
    <xf numFmtId="0" fontId="39" fillId="17" borderId="8" xfId="0" applyFont="1" applyFill="1" applyBorder="1"/>
    <xf numFmtId="0" fontId="39" fillId="20" borderId="3" xfId="0" applyFont="1" applyFill="1" applyBorder="1"/>
    <xf numFmtId="0" fontId="39" fillId="20" borderId="8" xfId="0" applyFont="1" applyFill="1" applyBorder="1"/>
    <xf numFmtId="0" fontId="39" fillId="17" borderId="5" xfId="0" applyFont="1" applyFill="1" applyBorder="1"/>
    <xf numFmtId="0" fontId="39" fillId="17" borderId="10" xfId="0" applyFont="1" applyFill="1" applyBorder="1"/>
    <xf numFmtId="0" fontId="39" fillId="20" borderId="5" xfId="0" applyFont="1" applyFill="1" applyBorder="1" applyAlignment="1"/>
    <xf numFmtId="0" fontId="39" fillId="20" borderId="10" xfId="0" applyFont="1" applyFill="1" applyBorder="1" applyAlignment="1"/>
    <xf numFmtId="0" fontId="47" fillId="0" borderId="30" xfId="0" applyFont="1" applyFill="1" applyBorder="1"/>
    <xf numFmtId="0" fontId="37" fillId="0" borderId="0" xfId="0" applyFont="1" applyFill="1" applyAlignment="1"/>
    <xf numFmtId="0" fontId="43" fillId="0" borderId="0" xfId="0" applyFont="1" applyFill="1"/>
    <xf numFmtId="0" fontId="43" fillId="0" borderId="0" xfId="0" applyFont="1" applyFill="1" applyAlignment="1">
      <alignment horizontal="center"/>
    </xf>
    <xf numFmtId="0" fontId="33" fillId="0" borderId="6" xfId="0" applyFont="1" applyBorder="1" applyAlignment="1"/>
    <xf numFmtId="0" fontId="33" fillId="0" borderId="9" xfId="0" applyFont="1" applyBorder="1" applyAlignment="1"/>
    <xf numFmtId="0" fontId="0" fillId="5" borderId="30" xfId="0" applyFill="1" applyBorder="1"/>
    <xf numFmtId="0" fontId="0" fillId="0" borderId="23" xfId="0" applyFill="1" applyBorder="1"/>
    <xf numFmtId="0" fontId="41" fillId="18" borderId="0" xfId="0" applyFont="1" applyFill="1" applyAlignment="1"/>
    <xf numFmtId="0" fontId="52" fillId="0" borderId="0" xfId="0" applyFont="1" applyFill="1" applyAlignment="1">
      <alignment horizontal="center"/>
    </xf>
    <xf numFmtId="0" fontId="38" fillId="0" borderId="30" xfId="0" applyFont="1" applyFill="1" applyBorder="1"/>
    <xf numFmtId="0" fontId="38" fillId="0" borderId="0" xfId="0" applyFont="1" applyFill="1" applyBorder="1" applyAlignment="1">
      <alignment horizontal="center"/>
    </xf>
    <xf numFmtId="1" fontId="38" fillId="0" borderId="0" xfId="0" applyNumberFormat="1" applyFont="1" applyFill="1" applyBorder="1"/>
    <xf numFmtId="4" fontId="38" fillId="0" borderId="0" xfId="0" applyNumberFormat="1" applyFont="1" applyFill="1" applyBorder="1"/>
    <xf numFmtId="0" fontId="33" fillId="4" borderId="34" xfId="0" applyFont="1" applyFill="1" applyBorder="1" applyAlignment="1">
      <alignment vertical="center"/>
    </xf>
    <xf numFmtId="0" fontId="52" fillId="0" borderId="30" xfId="0" applyFont="1" applyFill="1" applyBorder="1" applyAlignment="1"/>
    <xf numFmtId="0" fontId="52" fillId="0" borderId="0" xfId="0" applyFont="1" applyFill="1" applyBorder="1" applyAlignment="1"/>
    <xf numFmtId="0" fontId="52" fillId="0" borderId="23" xfId="0" applyFont="1" applyFill="1" applyBorder="1" applyAlignment="1"/>
    <xf numFmtId="0" fontId="52" fillId="0" borderId="44" xfId="0" applyFont="1" applyFill="1" applyBorder="1" applyAlignment="1"/>
    <xf numFmtId="0" fontId="52" fillId="0" borderId="43" xfId="0" applyFont="1" applyFill="1" applyBorder="1" applyAlignment="1"/>
    <xf numFmtId="0" fontId="52" fillId="0" borderId="45" xfId="0" applyFont="1" applyFill="1" applyBorder="1" applyAlignment="1"/>
    <xf numFmtId="0" fontId="52" fillId="0" borderId="46" xfId="0" applyFont="1" applyFill="1" applyBorder="1" applyAlignment="1"/>
    <xf numFmtId="0" fontId="52" fillId="0" borderId="47" xfId="0" applyFont="1" applyFill="1" applyBorder="1" applyAlignment="1"/>
    <xf numFmtId="0" fontId="52" fillId="0" borderId="53" xfId="0" applyFont="1" applyFill="1" applyBorder="1" applyAlignment="1"/>
    <xf numFmtId="0" fontId="33" fillId="0" borderId="11" xfId="0" applyFont="1" applyBorder="1" applyAlignment="1">
      <alignment horizontal="left" vertical="top" wrapText="1"/>
    </xf>
    <xf numFmtId="0" fontId="33" fillId="0" borderId="11" xfId="0" applyFont="1" applyFill="1" applyBorder="1" applyAlignment="1">
      <alignment horizontal="left" vertical="top" wrapText="1"/>
    </xf>
    <xf numFmtId="0" fontId="33" fillId="0" borderId="11" xfId="0" applyFont="1" applyBorder="1" applyAlignment="1">
      <alignment horizontal="center" vertical="center" wrapText="1"/>
    </xf>
    <xf numFmtId="0" fontId="33" fillId="0" borderId="11" xfId="0" applyFont="1" applyBorder="1" applyAlignment="1">
      <alignment horizontal="left" vertical="center" wrapText="1"/>
    </xf>
    <xf numFmtId="0" fontId="33" fillId="0" borderId="11" xfId="0" applyFont="1" applyBorder="1" applyAlignment="1">
      <alignment vertical="top" wrapText="1"/>
    </xf>
    <xf numFmtId="0" fontId="33" fillId="0" borderId="11" xfId="0" applyFont="1" applyFill="1" applyBorder="1" applyAlignment="1">
      <alignment vertical="top" wrapText="1"/>
    </xf>
    <xf numFmtId="0" fontId="33" fillId="0" borderId="11" xfId="0" applyFont="1" applyBorder="1" applyAlignment="1">
      <alignment wrapText="1"/>
    </xf>
    <xf numFmtId="0" fontId="33" fillId="0" borderId="11" xfId="0" applyFont="1" applyBorder="1" applyAlignment="1">
      <alignment vertical="top"/>
    </xf>
    <xf numFmtId="0" fontId="42" fillId="5" borderId="0" xfId="0" applyFont="1" applyFill="1"/>
    <xf numFmtId="0" fontId="41" fillId="21" borderId="11" xfId="0" applyFont="1" applyFill="1" applyBorder="1" applyAlignment="1">
      <alignment horizontal="center" vertical="center" wrapText="1"/>
    </xf>
    <xf numFmtId="0" fontId="34" fillId="20" borderId="11" xfId="0" applyFont="1" applyFill="1" applyBorder="1" applyAlignment="1">
      <alignment horizontal="center" vertical="top" wrapText="1"/>
    </xf>
    <xf numFmtId="0" fontId="42" fillId="0" borderId="0" xfId="0" applyFont="1" applyFill="1"/>
    <xf numFmtId="0" fontId="0" fillId="0" borderId="0" xfId="0" applyFill="1" applyAlignment="1">
      <alignment horizontal="center" vertical="center"/>
    </xf>
    <xf numFmtId="0" fontId="0" fillId="0" borderId="0" xfId="0" applyFill="1" applyAlignment="1">
      <alignment horizontal="left" vertical="center"/>
    </xf>
    <xf numFmtId="0" fontId="34" fillId="0" borderId="0" xfId="0" applyFont="1" applyAlignment="1">
      <alignment vertical="top"/>
    </xf>
    <xf numFmtId="0" fontId="33" fillId="0" borderId="0" xfId="0" applyFont="1" applyAlignment="1">
      <alignment vertical="top"/>
    </xf>
    <xf numFmtId="0" fontId="33" fillId="0" borderId="0" xfId="0" applyFont="1" applyFill="1"/>
    <xf numFmtId="0" fontId="41" fillId="21" borderId="11" xfId="0" applyFont="1" applyFill="1" applyBorder="1" applyAlignment="1">
      <alignment horizontal="center" vertical="top" wrapText="1"/>
    </xf>
    <xf numFmtId="0" fontId="33" fillId="0" borderId="0" xfId="0" applyFont="1" applyFill="1" applyAlignment="1">
      <alignment horizontal="left" vertical="center"/>
    </xf>
    <xf numFmtId="0" fontId="33" fillId="19" borderId="11" xfId="0" applyFont="1" applyFill="1" applyBorder="1" applyAlignment="1">
      <alignment vertical="top"/>
    </xf>
    <xf numFmtId="0" fontId="33" fillId="0" borderId="11" xfId="0" applyFont="1" applyFill="1" applyBorder="1" applyAlignment="1">
      <alignment vertical="top"/>
    </xf>
    <xf numFmtId="0" fontId="33" fillId="0" borderId="0" xfId="0" applyFont="1" applyBorder="1" applyAlignment="1">
      <alignment vertical="top"/>
    </xf>
    <xf numFmtId="0" fontId="41" fillId="0" borderId="0" xfId="0" applyFont="1" applyFill="1"/>
    <xf numFmtId="0" fontId="0" fillId="0" borderId="30" xfId="0" applyBorder="1"/>
    <xf numFmtId="0" fontId="0" fillId="0" borderId="23" xfId="0" applyBorder="1"/>
    <xf numFmtId="0" fontId="54" fillId="0" borderId="30" xfId="0" applyFont="1" applyBorder="1"/>
    <xf numFmtId="0" fontId="34" fillId="5" borderId="55" xfId="0" applyFont="1" applyFill="1" applyBorder="1" applyAlignment="1">
      <alignment horizontal="left"/>
    </xf>
    <xf numFmtId="0" fontId="34" fillId="5" borderId="55" xfId="0" applyFont="1" applyFill="1" applyBorder="1"/>
    <xf numFmtId="0" fontId="34" fillId="5" borderId="30" xfId="0" applyFont="1" applyFill="1" applyBorder="1"/>
    <xf numFmtId="0" fontId="54" fillId="5" borderId="30" xfId="0" applyFont="1" applyFill="1" applyBorder="1"/>
    <xf numFmtId="0" fontId="36" fillId="0" borderId="30" xfId="0" applyFont="1" applyFill="1" applyBorder="1" applyAlignment="1">
      <alignment horizontal="center"/>
    </xf>
    <xf numFmtId="0" fontId="34" fillId="11" borderId="55" xfId="0" applyFont="1" applyFill="1" applyBorder="1" applyAlignment="1">
      <alignment vertical="center"/>
    </xf>
    <xf numFmtId="0" fontId="34" fillId="5" borderId="55" xfId="0" applyFont="1" applyFill="1" applyBorder="1" applyAlignment="1">
      <alignment vertical="center"/>
    </xf>
    <xf numFmtId="0" fontId="34" fillId="5" borderId="55" xfId="0" applyFont="1" applyFill="1" applyBorder="1" applyAlignment="1">
      <alignment vertical="top" wrapText="1"/>
    </xf>
    <xf numFmtId="0" fontId="34" fillId="5" borderId="30" xfId="0" applyFont="1" applyFill="1" applyBorder="1" applyAlignment="1">
      <alignment vertical="center"/>
    </xf>
    <xf numFmtId="0" fontId="1" fillId="0" borderId="23" xfId="1" applyFill="1" applyBorder="1"/>
    <xf numFmtId="0" fontId="33" fillId="5" borderId="28" xfId="0" applyFont="1" applyFill="1" applyBorder="1"/>
    <xf numFmtId="0" fontId="33" fillId="5" borderId="21" xfId="0" applyFont="1" applyFill="1" applyBorder="1"/>
    <xf numFmtId="0" fontId="0" fillId="0" borderId="21" xfId="0" applyBorder="1"/>
    <xf numFmtId="0" fontId="33" fillId="0" borderId="21" xfId="0" applyFont="1" applyBorder="1"/>
    <xf numFmtId="0" fontId="0" fillId="0" borderId="24" xfId="0" applyBorder="1"/>
    <xf numFmtId="0" fontId="0" fillId="22" borderId="0" xfId="0" applyFill="1" applyAlignment="1">
      <alignment horizontal="left"/>
    </xf>
    <xf numFmtId="0" fontId="64" fillId="0" borderId="3" xfId="0" applyFont="1" applyFill="1" applyBorder="1"/>
    <xf numFmtId="0" fontId="64" fillId="0" borderId="4" xfId="0" applyFont="1" applyFill="1" applyBorder="1"/>
    <xf numFmtId="0" fontId="64" fillId="0" borderId="5" xfId="0" applyFont="1" applyFill="1" applyBorder="1"/>
    <xf numFmtId="0" fontId="0" fillId="0" borderId="0" xfId="0" applyFill="1" applyBorder="1"/>
    <xf numFmtId="0" fontId="0" fillId="0" borderId="0" xfId="0" applyBorder="1" applyAlignment="1"/>
    <xf numFmtId="0" fontId="12" fillId="0" borderId="0" xfId="88"/>
    <xf numFmtId="0" fontId="71" fillId="0" borderId="0" xfId="88" applyFont="1" applyFill="1" applyBorder="1" applyAlignment="1"/>
    <xf numFmtId="0" fontId="71" fillId="0" borderId="0" xfId="88" applyFont="1" applyFill="1" applyBorder="1" applyAlignment="1">
      <alignment horizontal="center"/>
    </xf>
    <xf numFmtId="0" fontId="71" fillId="0" borderId="0" xfId="88" applyFont="1" applyFill="1"/>
    <xf numFmtId="0" fontId="18" fillId="5" borderId="33" xfId="88" applyFont="1" applyFill="1" applyBorder="1" applyAlignment="1">
      <alignment wrapText="1"/>
    </xf>
    <xf numFmtId="0" fontId="18" fillId="5" borderId="62" xfId="88" applyFont="1" applyFill="1" applyBorder="1" applyAlignment="1">
      <alignment horizontal="center"/>
    </xf>
    <xf numFmtId="0" fontId="18" fillId="5" borderId="66" xfId="88" applyFont="1" applyFill="1" applyBorder="1" applyAlignment="1">
      <alignment horizontal="center"/>
    </xf>
    <xf numFmtId="0" fontId="12" fillId="0" borderId="13" xfId="88" applyFont="1" applyFill="1" applyBorder="1" applyAlignment="1">
      <alignment wrapText="1"/>
    </xf>
    <xf numFmtId="176" fontId="12" fillId="23" borderId="11" xfId="108" applyNumberFormat="1" applyFont="1" applyFill="1" applyBorder="1" applyAlignment="1">
      <alignment horizontal="center"/>
    </xf>
    <xf numFmtId="0" fontId="12" fillId="0" borderId="38" xfId="88" applyFont="1" applyFill="1" applyBorder="1" applyAlignment="1">
      <alignment horizontal="left" wrapText="1"/>
    </xf>
    <xf numFmtId="0" fontId="12" fillId="0" borderId="13" xfId="88" applyBorder="1" applyAlignment="1">
      <alignment wrapText="1"/>
    </xf>
    <xf numFmtId="10" fontId="12" fillId="23" borderId="11" xfId="88" applyNumberFormat="1" applyFill="1" applyBorder="1" applyAlignment="1">
      <alignment wrapText="1"/>
    </xf>
    <xf numFmtId="0" fontId="12" fillId="0" borderId="38" xfId="88" applyBorder="1" applyAlignment="1">
      <alignment horizontal="left" wrapText="1"/>
    </xf>
    <xf numFmtId="0" fontId="12" fillId="0" borderId="0" xfId="88" applyFill="1"/>
    <xf numFmtId="10" fontId="12" fillId="0" borderId="13" xfId="88" applyNumberFormat="1" applyBorder="1" applyAlignment="1">
      <alignment wrapText="1"/>
    </xf>
    <xf numFmtId="10" fontId="12" fillId="0" borderId="38" xfId="88" applyNumberFormat="1" applyBorder="1" applyAlignment="1">
      <alignment horizontal="left" wrapText="1"/>
    </xf>
    <xf numFmtId="0" fontId="12" fillId="0" borderId="0" xfId="88" applyFill="1" applyBorder="1" applyAlignment="1">
      <alignment horizontal="center" wrapText="1"/>
    </xf>
    <xf numFmtId="0" fontId="12" fillId="0" borderId="0" xfId="88" applyFill="1" applyBorder="1" applyAlignment="1">
      <alignment wrapText="1"/>
    </xf>
    <xf numFmtId="0" fontId="12" fillId="23" borderId="11" xfId="88" applyFill="1" applyBorder="1" applyAlignment="1">
      <alignment wrapText="1"/>
    </xf>
    <xf numFmtId="0" fontId="12" fillId="0" borderId="0" xfId="88" applyFill="1" applyAlignment="1">
      <alignment wrapText="1"/>
    </xf>
    <xf numFmtId="176" fontId="18" fillId="0" borderId="0" xfId="108" applyNumberFormat="1" applyFont="1" applyFill="1" applyBorder="1" applyAlignment="1">
      <alignment horizontal="center" wrapText="1"/>
    </xf>
    <xf numFmtId="164" fontId="18" fillId="0" borderId="0" xfId="88" applyNumberFormat="1" applyFont="1" applyFill="1" applyBorder="1"/>
    <xf numFmtId="0" fontId="12" fillId="0" borderId="39" xfId="88" applyBorder="1" applyAlignment="1">
      <alignment wrapText="1"/>
    </xf>
    <xf numFmtId="9" fontId="12" fillId="23" borderId="40" xfId="88" applyNumberFormat="1" applyFill="1" applyBorder="1" applyAlignment="1">
      <alignment wrapText="1"/>
    </xf>
    <xf numFmtId="0" fontId="12" fillId="0" borderId="41" xfId="88" applyBorder="1" applyAlignment="1">
      <alignment horizontal="left" wrapText="1"/>
    </xf>
    <xf numFmtId="176" fontId="0" fillId="0" borderId="0" xfId="108" applyNumberFormat="1" applyFont="1" applyFill="1" applyBorder="1" applyAlignment="1">
      <alignment horizontal="center" wrapText="1"/>
    </xf>
    <xf numFmtId="0" fontId="12" fillId="0" borderId="0" xfId="88" applyAlignment="1">
      <alignment wrapText="1"/>
    </xf>
    <xf numFmtId="0" fontId="73" fillId="0" borderId="0" xfId="88" applyFont="1"/>
    <xf numFmtId="0" fontId="18" fillId="23" borderId="13" xfId="88" applyFont="1" applyFill="1" applyBorder="1" applyAlignment="1">
      <alignment horizontal="center" wrapText="1"/>
    </xf>
    <xf numFmtId="0" fontId="12" fillId="23" borderId="11" xfId="88" applyFill="1" applyBorder="1" applyAlignment="1">
      <alignment horizontal="center"/>
    </xf>
    <xf numFmtId="0" fontId="68" fillId="0" borderId="13" xfId="88" applyFont="1" applyBorder="1" applyAlignment="1">
      <alignment horizontal="left" wrapText="1"/>
    </xf>
    <xf numFmtId="176" fontId="0" fillId="0" borderId="11" xfId="108" applyNumberFormat="1" applyFont="1" applyBorder="1" applyAlignment="1">
      <alignment horizontal="center"/>
    </xf>
    <xf numFmtId="164" fontId="0" fillId="0" borderId="11" xfId="108" applyNumberFormat="1" applyFont="1" applyBorder="1" applyAlignment="1">
      <alignment horizontal="center"/>
    </xf>
    <xf numFmtId="176" fontId="0" fillId="0" borderId="38" xfId="108" applyNumberFormat="1" applyFont="1" applyBorder="1" applyAlignment="1">
      <alignment horizontal="center"/>
    </xf>
    <xf numFmtId="0" fontId="18" fillId="0" borderId="13" xfId="88" applyFont="1" applyBorder="1" applyAlignment="1">
      <alignment horizontal="left" wrapText="1"/>
    </xf>
    <xf numFmtId="176" fontId="12" fillId="0" borderId="11" xfId="88" applyNumberFormat="1" applyBorder="1" applyAlignment="1">
      <alignment horizontal="center"/>
    </xf>
    <xf numFmtId="176" fontId="12" fillId="0" borderId="38" xfId="88" applyNumberFormat="1" applyBorder="1" applyAlignment="1">
      <alignment horizontal="center"/>
    </xf>
    <xf numFmtId="0" fontId="18" fillId="0" borderId="13" xfId="88" applyFont="1" applyFill="1" applyBorder="1" applyAlignment="1">
      <alignment horizontal="left" wrapText="1"/>
    </xf>
    <xf numFmtId="0" fontId="12" fillId="0" borderId="11" xfId="88" applyFill="1" applyBorder="1" applyAlignment="1">
      <alignment horizontal="center"/>
    </xf>
    <xf numFmtId="176" fontId="12" fillId="0" borderId="11" xfId="88" applyNumberFormat="1" applyFill="1" applyBorder="1" applyAlignment="1">
      <alignment horizontal="center"/>
    </xf>
    <xf numFmtId="176" fontId="12" fillId="0" borderId="38" xfId="88" applyNumberFormat="1" applyFill="1" applyBorder="1" applyAlignment="1">
      <alignment horizontal="center"/>
    </xf>
    <xf numFmtId="0" fontId="18" fillId="23" borderId="39" xfId="88" applyFont="1" applyFill="1" applyBorder="1" applyAlignment="1">
      <alignment horizontal="left" wrapText="1"/>
    </xf>
    <xf numFmtId="0" fontId="18" fillId="23" borderId="40" xfId="88" applyFont="1" applyFill="1" applyBorder="1" applyAlignment="1">
      <alignment horizontal="center"/>
    </xf>
    <xf numFmtId="176" fontId="18" fillId="23" borderId="40" xfId="88" applyNumberFormat="1" applyFont="1" applyFill="1" applyBorder="1" applyAlignment="1">
      <alignment horizontal="center"/>
    </xf>
    <xf numFmtId="0" fontId="12" fillId="0" borderId="0" xfId="88" applyFill="1" applyBorder="1" applyAlignment="1">
      <alignment horizontal="left" wrapText="1"/>
    </xf>
    <xf numFmtId="176" fontId="12" fillId="0" borderId="0" xfId="88" applyNumberFormat="1" applyAlignment="1">
      <alignment horizontal="center"/>
    </xf>
    <xf numFmtId="0" fontId="12" fillId="23" borderId="13" xfId="88" applyFill="1" applyBorder="1" applyAlignment="1">
      <alignment wrapText="1"/>
    </xf>
    <xf numFmtId="0" fontId="12" fillId="23" borderId="11" xfId="88" applyFill="1" applyBorder="1" applyAlignment="1">
      <alignment horizontal="center" wrapText="1"/>
    </xf>
    <xf numFmtId="0" fontId="12" fillId="23" borderId="38" xfId="88" applyFill="1" applyBorder="1" applyAlignment="1">
      <alignment horizontal="center" wrapText="1"/>
    </xf>
    <xf numFmtId="176" fontId="18" fillId="0" borderId="39" xfId="108" applyNumberFormat="1" applyFont="1" applyBorder="1" applyAlignment="1">
      <alignment horizontal="center" wrapText="1"/>
    </xf>
    <xf numFmtId="176" fontId="18" fillId="0" borderId="40" xfId="108" applyNumberFormat="1" applyFont="1" applyBorder="1" applyAlignment="1">
      <alignment horizontal="center" wrapText="1"/>
    </xf>
    <xf numFmtId="176" fontId="18" fillId="0" borderId="41" xfId="108" applyNumberFormat="1" applyFont="1" applyBorder="1" applyAlignment="1">
      <alignment horizontal="center" wrapText="1"/>
    </xf>
    <xf numFmtId="0" fontId="12" fillId="0" borderId="11" xfId="88" applyFont="1" applyFill="1" applyBorder="1" applyAlignment="1">
      <alignment horizontal="center"/>
    </xf>
    <xf numFmtId="0" fontId="12" fillId="0" borderId="11" xfId="88" applyBorder="1"/>
    <xf numFmtId="0" fontId="69" fillId="5" borderId="11" xfId="94" applyFont="1" applyFill="1" applyBorder="1" applyAlignment="1">
      <alignment horizontal="left" vertical="center" wrapText="1"/>
    </xf>
    <xf numFmtId="9" fontId="12" fillId="0" borderId="11" xfId="88" applyNumberFormat="1" applyBorder="1"/>
    <xf numFmtId="0" fontId="12" fillId="5" borderId="11" xfId="94" applyFont="1" applyFill="1" applyBorder="1" applyAlignment="1">
      <alignment horizontal="left" vertical="center" wrapText="1"/>
    </xf>
    <xf numFmtId="0" fontId="74" fillId="0" borderId="0" xfId="0" applyFont="1"/>
    <xf numFmtId="0" fontId="3" fillId="0" borderId="0" xfId="0" applyFont="1"/>
    <xf numFmtId="0" fontId="75" fillId="0" borderId="0" xfId="0" applyFont="1"/>
    <xf numFmtId="0" fontId="0" fillId="0" borderId="0" xfId="0" applyBorder="1" applyAlignment="1">
      <alignment horizontal="left"/>
    </xf>
    <xf numFmtId="0" fontId="3" fillId="0" borderId="0" xfId="0" applyFont="1" applyBorder="1"/>
    <xf numFmtId="0" fontId="75" fillId="0" borderId="0" xfId="0" applyFont="1" applyBorder="1" applyAlignment="1">
      <alignment horizontal="center"/>
    </xf>
    <xf numFmtId="0" fontId="0" fillId="0" borderId="0" xfId="0" applyAlignment="1">
      <alignment horizontal="left"/>
    </xf>
    <xf numFmtId="2" fontId="0" fillId="0" borderId="0" xfId="0" applyNumberFormat="1" applyAlignment="1">
      <alignment horizontal="center"/>
    </xf>
    <xf numFmtId="0" fontId="0" fillId="0" borderId="0" xfId="0" applyFill="1" applyBorder="1" applyAlignment="1">
      <alignment horizontal="left"/>
    </xf>
    <xf numFmtId="0" fontId="33" fillId="0" borderId="0" xfId="0" applyFont="1" applyAlignment="1">
      <alignment wrapText="1"/>
    </xf>
    <xf numFmtId="0" fontId="40" fillId="0" borderId="0" xfId="0" applyFont="1" applyBorder="1" applyAlignment="1"/>
    <xf numFmtId="0" fontId="0" fillId="0" borderId="4" xfId="0" applyBorder="1"/>
    <xf numFmtId="0" fontId="39" fillId="0" borderId="0" xfId="0" applyFont="1" applyFill="1"/>
    <xf numFmtId="0" fontId="8" fillId="0" borderId="0" xfId="0" applyFont="1" applyFill="1"/>
    <xf numFmtId="0" fontId="45" fillId="17" borderId="5" xfId="0" applyFont="1" applyFill="1" applyBorder="1"/>
    <xf numFmtId="0" fontId="45" fillId="17" borderId="8" xfId="0" applyFont="1" applyFill="1" applyBorder="1"/>
    <xf numFmtId="0" fontId="90" fillId="0" borderId="3" xfId="0" applyFont="1" applyBorder="1" applyAlignment="1">
      <alignment horizontal="left" vertical="center" wrapText="1"/>
    </xf>
    <xf numFmtId="0" fontId="90" fillId="0" borderId="4" xfId="0" applyFont="1" applyBorder="1" applyAlignment="1">
      <alignment horizontal="left" vertical="center" wrapText="1"/>
    </xf>
    <xf numFmtId="0" fontId="38" fillId="0" borderId="4" xfId="0" applyFont="1" applyBorder="1" applyAlignment="1">
      <alignment horizontal="left" vertical="center" wrapText="1"/>
    </xf>
    <xf numFmtId="0" fontId="34" fillId="0" borderId="0" xfId="0" applyFont="1" applyFill="1" applyBorder="1"/>
    <xf numFmtId="0" fontId="33" fillId="0" borderId="0" xfId="0" applyFont="1" applyAlignment="1">
      <alignment vertical="center"/>
    </xf>
    <xf numFmtId="0" fontId="33" fillId="4" borderId="0" xfId="0" applyFont="1" applyFill="1" applyAlignment="1">
      <alignment vertical="center"/>
    </xf>
    <xf numFmtId="0" fontId="49" fillId="0" borderId="14" xfId="0" applyFont="1" applyFill="1" applyBorder="1" applyAlignment="1">
      <alignment horizontal="center" vertical="center"/>
    </xf>
    <xf numFmtId="0" fontId="33" fillId="0" borderId="0" xfId="0" applyFont="1" applyAlignment="1">
      <alignment horizontal="center"/>
    </xf>
    <xf numFmtId="2" fontId="33" fillId="0" borderId="0" xfId="0" applyNumberFormat="1" applyFont="1" applyFill="1" applyBorder="1" applyAlignment="1">
      <alignment horizontal="center"/>
    </xf>
    <xf numFmtId="0" fontId="33" fillId="0" borderId="0" xfId="0" applyFont="1" applyAlignment="1">
      <alignment horizontal="left" vertical="center"/>
    </xf>
    <xf numFmtId="0" fontId="33" fillId="0" borderId="0" xfId="0" applyFont="1" applyFill="1" applyBorder="1" applyAlignment="1">
      <alignment horizontal="center" vertical="center" wrapText="1"/>
    </xf>
    <xf numFmtId="0" fontId="0" fillId="0" borderId="0" xfId="0" applyFill="1" applyBorder="1" applyAlignment="1"/>
    <xf numFmtId="0" fontId="34" fillId="20" borderId="3" xfId="0" applyFont="1" applyFill="1" applyBorder="1"/>
    <xf numFmtId="0" fontId="34" fillId="20" borderId="5" xfId="0" applyFont="1" applyFill="1" applyBorder="1"/>
    <xf numFmtId="0" fontId="34" fillId="20" borderId="8" xfId="0" applyFont="1" applyFill="1" applyBorder="1"/>
    <xf numFmtId="0" fontId="0" fillId="5" borderId="0" xfId="0" applyFill="1" applyBorder="1" applyAlignment="1"/>
    <xf numFmtId="0" fontId="70" fillId="5" borderId="0" xfId="0" applyFont="1" applyFill="1"/>
    <xf numFmtId="0" fontId="95" fillId="0" borderId="0" xfId="94" applyFont="1"/>
    <xf numFmtId="165" fontId="95" fillId="0" borderId="0" xfId="94" applyNumberFormat="1" applyFont="1" applyFill="1" applyBorder="1"/>
    <xf numFmtId="0" fontId="95" fillId="5" borderId="0" xfId="94" applyFont="1" applyFill="1" applyBorder="1" applyAlignment="1">
      <alignment wrapText="1"/>
    </xf>
    <xf numFmtId="176" fontId="98" fillId="5" borderId="0" xfId="18" applyNumberFormat="1" applyFont="1" applyFill="1" applyBorder="1" applyAlignment="1">
      <alignment horizontal="center" wrapText="1"/>
    </xf>
    <xf numFmtId="0" fontId="98" fillId="5" borderId="0" xfId="94" applyFont="1" applyFill="1" applyBorder="1" applyAlignment="1">
      <alignment vertical="center"/>
    </xf>
    <xf numFmtId="0" fontId="52" fillId="0" borderId="0" xfId="0" applyFont="1" applyFill="1" applyBorder="1" applyAlignment="1">
      <alignment horizontal="right"/>
    </xf>
    <xf numFmtId="0" fontId="95" fillId="0" borderId="0" xfId="94" applyFont="1" applyFill="1" applyBorder="1" applyAlignment="1">
      <alignment horizontal="left" wrapText="1"/>
    </xf>
    <xf numFmtId="0" fontId="95" fillId="0" borderId="0" xfId="94" applyFont="1" applyFill="1" applyBorder="1" applyAlignment="1">
      <alignment vertical="center"/>
    </xf>
    <xf numFmtId="0" fontId="38" fillId="0" borderId="6" xfId="0" applyFont="1" applyFill="1" applyBorder="1"/>
    <xf numFmtId="0" fontId="52" fillId="20" borderId="5" xfId="2" applyFont="1" applyFill="1" applyBorder="1" applyAlignment="1"/>
    <xf numFmtId="0" fontId="95" fillId="0" borderId="0" xfId="94" applyFont="1" applyBorder="1"/>
    <xf numFmtId="0" fontId="95" fillId="5" borderId="0" xfId="94" applyFont="1" applyFill="1" applyBorder="1"/>
    <xf numFmtId="0" fontId="95" fillId="5" borderId="0" xfId="94" applyFont="1" applyFill="1" applyBorder="1" applyAlignment="1">
      <alignment horizontal="center"/>
    </xf>
    <xf numFmtId="0" fontId="102" fillId="5" borderId="0" xfId="94" applyFont="1" applyFill="1" applyBorder="1" applyAlignment="1">
      <alignment horizontal="right"/>
    </xf>
    <xf numFmtId="0" fontId="95" fillId="5" borderId="0" xfId="94" applyFont="1" applyFill="1" applyBorder="1" applyAlignment="1">
      <alignment horizontal="right"/>
    </xf>
    <xf numFmtId="4" fontId="98" fillId="5" borderId="0" xfId="94" applyNumberFormat="1" applyFont="1" applyFill="1" applyBorder="1" applyAlignment="1">
      <alignment vertical="center"/>
    </xf>
    <xf numFmtId="0" fontId="103" fillId="5" borderId="0" xfId="94" applyFont="1" applyFill="1" applyBorder="1"/>
    <xf numFmtId="0" fontId="66" fillId="5" borderId="0" xfId="0" applyFont="1" applyFill="1" applyBorder="1"/>
    <xf numFmtId="0" fontId="0" fillId="5" borderId="0" xfId="0" applyFill="1" applyBorder="1"/>
    <xf numFmtId="0" fontId="49" fillId="5" borderId="14" xfId="0" applyFont="1" applyFill="1" applyBorder="1" applyAlignment="1">
      <alignment horizontal="center" vertical="center"/>
    </xf>
    <xf numFmtId="0" fontId="33" fillId="0" borderId="0" xfId="0" applyFont="1" applyBorder="1" applyAlignment="1">
      <alignment horizontal="left"/>
    </xf>
    <xf numFmtId="0" fontId="70" fillId="5" borderId="0" xfId="0" applyFont="1" applyFill="1" applyAlignment="1">
      <alignment horizontal="center"/>
    </xf>
    <xf numFmtId="0" fontId="70" fillId="5" borderId="23" xfId="0" applyFont="1" applyFill="1" applyBorder="1"/>
    <xf numFmtId="0" fontId="70" fillId="5" borderId="30" xfId="0" applyFont="1" applyFill="1" applyBorder="1"/>
    <xf numFmtId="0" fontId="70" fillId="5" borderId="0" xfId="0" applyFont="1" applyFill="1" applyBorder="1"/>
    <xf numFmtId="0" fontId="70" fillId="5" borderId="0" xfId="0" applyFont="1" applyFill="1" applyBorder="1" applyAlignment="1">
      <alignment horizontal="center"/>
    </xf>
    <xf numFmtId="0" fontId="93" fillId="5" borderId="30" xfId="0" applyFont="1" applyFill="1" applyBorder="1" applyAlignment="1"/>
    <xf numFmtId="0" fontId="93" fillId="5" borderId="0" xfId="0" applyFont="1" applyFill="1" applyBorder="1" applyAlignment="1"/>
    <xf numFmtId="0" fontId="93" fillId="5" borderId="42" xfId="0" applyFont="1" applyFill="1" applyBorder="1" applyAlignment="1"/>
    <xf numFmtId="0" fontId="38" fillId="5" borderId="0" xfId="0" applyFont="1" applyFill="1"/>
    <xf numFmtId="0" fontId="38" fillId="5" borderId="30" xfId="0" applyFont="1" applyFill="1" applyBorder="1"/>
    <xf numFmtId="0" fontId="38" fillId="5" borderId="0" xfId="0" applyFont="1" applyFill="1" applyBorder="1"/>
    <xf numFmtId="0" fontId="38" fillId="5" borderId="23" xfId="0" applyFont="1" applyFill="1" applyBorder="1"/>
    <xf numFmtId="0" fontId="52" fillId="5" borderId="0" xfId="0" applyFont="1" applyFill="1" applyBorder="1"/>
    <xf numFmtId="0" fontId="38" fillId="5" borderId="0" xfId="0" applyFont="1" applyFill="1" applyBorder="1" applyAlignment="1">
      <alignment horizontal="center"/>
    </xf>
    <xf numFmtId="0" fontId="52" fillId="5" borderId="9" xfId="0" applyFont="1" applyFill="1" applyBorder="1"/>
    <xf numFmtId="0" fontId="52" fillId="5" borderId="30" xfId="0" applyFont="1" applyFill="1" applyBorder="1" applyAlignment="1"/>
    <xf numFmtId="0" fontId="52" fillId="5" borderId="0" xfId="0" applyFont="1" applyFill="1" applyBorder="1" applyAlignment="1"/>
    <xf numFmtId="0" fontId="52" fillId="5" borderId="23" xfId="0" applyFont="1" applyFill="1" applyBorder="1" applyAlignment="1"/>
    <xf numFmtId="0" fontId="52" fillId="5" borderId="42" xfId="0" applyFont="1" applyFill="1" applyBorder="1" applyAlignment="1"/>
    <xf numFmtId="0" fontId="52" fillId="5" borderId="44" xfId="0" applyFont="1" applyFill="1" applyBorder="1" applyAlignment="1"/>
    <xf numFmtId="0" fontId="52" fillId="5" borderId="43" xfId="0" applyFont="1" applyFill="1" applyBorder="1" applyAlignment="1"/>
    <xf numFmtId="0" fontId="52" fillId="5" borderId="45" xfId="0" applyFont="1" applyFill="1" applyBorder="1" applyAlignment="1"/>
    <xf numFmtId="0" fontId="52" fillId="5" borderId="46" xfId="0" applyFont="1" applyFill="1" applyBorder="1" applyAlignment="1"/>
    <xf numFmtId="0" fontId="52" fillId="5" borderId="28" xfId="0" applyFont="1" applyFill="1" applyBorder="1" applyAlignment="1"/>
    <xf numFmtId="0" fontId="52" fillId="5" borderId="21" xfId="0" applyFont="1" applyFill="1" applyBorder="1" applyAlignment="1"/>
    <xf numFmtId="0" fontId="52" fillId="5" borderId="24" xfId="0" applyFont="1" applyFill="1" applyBorder="1" applyAlignment="1"/>
    <xf numFmtId="0" fontId="38" fillId="5" borderId="6" xfId="0" applyFont="1" applyFill="1" applyBorder="1"/>
    <xf numFmtId="0" fontId="84" fillId="5" borderId="0" xfId="0" applyFont="1" applyFill="1" applyBorder="1"/>
    <xf numFmtId="0" fontId="83" fillId="0" borderId="0" xfId="0" applyFont="1" applyBorder="1" applyAlignment="1">
      <alignment vertical="center"/>
    </xf>
    <xf numFmtId="3" fontId="38" fillId="5" borderId="0" xfId="0" applyNumberFormat="1" applyFont="1" applyFill="1" applyBorder="1" applyAlignment="1">
      <alignment horizontal="center"/>
    </xf>
    <xf numFmtId="0" fontId="49" fillId="0" borderId="6" xfId="0" applyFont="1" applyBorder="1"/>
    <xf numFmtId="0" fontId="49" fillId="0" borderId="6" xfId="0" applyFont="1" applyBorder="1" applyAlignment="1">
      <alignment horizontal="left"/>
    </xf>
    <xf numFmtId="0" fontId="38" fillId="5" borderId="9" xfId="0" applyFont="1" applyFill="1" applyBorder="1"/>
    <xf numFmtId="0" fontId="49" fillId="0" borderId="8" xfId="0" applyFont="1" applyBorder="1"/>
    <xf numFmtId="0" fontId="39" fillId="5" borderId="43" xfId="0" applyFont="1" applyFill="1" applyBorder="1" applyAlignment="1"/>
    <xf numFmtId="0" fontId="93" fillId="5" borderId="0" xfId="0" applyFont="1" applyFill="1" applyBorder="1" applyAlignment="1">
      <alignment horizontal="center"/>
    </xf>
    <xf numFmtId="0" fontId="94" fillId="5" borderId="0" xfId="0" applyFont="1" applyFill="1" applyBorder="1" applyAlignment="1">
      <alignment horizontal="center"/>
    </xf>
    <xf numFmtId="0" fontId="94" fillId="5" borderId="23" xfId="0" applyFont="1" applyFill="1" applyBorder="1" applyAlignment="1">
      <alignment horizontal="center"/>
    </xf>
    <xf numFmtId="0" fontId="52" fillId="5" borderId="74" xfId="0" applyFont="1" applyFill="1" applyBorder="1" applyAlignment="1"/>
    <xf numFmtId="0" fontId="38" fillId="5" borderId="21" xfId="0" applyFont="1" applyFill="1" applyBorder="1"/>
    <xf numFmtId="0" fontId="52" fillId="5" borderId="75" xfId="0" applyFont="1" applyFill="1" applyBorder="1" applyAlignment="1"/>
    <xf numFmtId="0" fontId="96" fillId="5" borderId="0" xfId="0" applyFont="1" applyFill="1" applyBorder="1" applyAlignment="1">
      <alignment horizontal="left" vertical="top" wrapText="1"/>
    </xf>
    <xf numFmtId="0" fontId="39" fillId="0" borderId="0" xfId="0" applyFont="1" applyFill="1" applyAlignment="1"/>
    <xf numFmtId="0" fontId="109" fillId="0" borderId="0" xfId="0" applyFont="1" applyFill="1"/>
    <xf numFmtId="0" fontId="109" fillId="0" borderId="0" xfId="0" applyFont="1" applyFill="1" applyAlignment="1">
      <alignment horizontal="center"/>
    </xf>
    <xf numFmtId="0" fontId="109" fillId="18" borderId="0" xfId="0" applyFont="1" applyFill="1"/>
    <xf numFmtId="4" fontId="70" fillId="5" borderId="0" xfId="0" applyNumberFormat="1" applyFont="1" applyFill="1" applyBorder="1"/>
    <xf numFmtId="0" fontId="52" fillId="5" borderId="0" xfId="0" applyFont="1" applyFill="1" applyBorder="1" applyAlignment="1">
      <alignment horizontal="center" vertical="center"/>
    </xf>
    <xf numFmtId="1" fontId="70" fillId="5" borderId="0" xfId="0" applyNumberFormat="1" applyFont="1" applyFill="1" applyBorder="1"/>
    <xf numFmtId="0" fontId="39" fillId="20" borderId="5" xfId="2" applyFont="1" applyFill="1" applyBorder="1"/>
    <xf numFmtId="0" fontId="70" fillId="5" borderId="7" xfId="0" applyFont="1" applyFill="1" applyBorder="1"/>
    <xf numFmtId="0" fontId="52" fillId="5" borderId="43" xfId="0" applyFont="1" applyFill="1" applyBorder="1" applyAlignment="1">
      <alignment horizontal="center"/>
    </xf>
    <xf numFmtId="0" fontId="45" fillId="0" borderId="0" xfId="0" applyFont="1" applyBorder="1"/>
    <xf numFmtId="182" fontId="34" fillId="5" borderId="0" xfId="0" applyNumberFormat="1" applyFont="1" applyFill="1" applyBorder="1" applyAlignment="1">
      <alignment horizontal="center"/>
    </xf>
    <xf numFmtId="0" fontId="0" fillId="0" borderId="28" xfId="0" applyBorder="1"/>
    <xf numFmtId="0" fontId="90" fillId="0" borderId="3" xfId="0" applyFont="1" applyFill="1" applyBorder="1" applyAlignment="1">
      <alignment horizontal="left" vertical="center"/>
    </xf>
    <xf numFmtId="0" fontId="90" fillId="0" borderId="4" xfId="0" applyFont="1" applyFill="1" applyBorder="1" applyAlignment="1">
      <alignment horizontal="left" vertical="center"/>
    </xf>
    <xf numFmtId="0" fontId="90" fillId="0" borderId="5" xfId="0" applyFont="1" applyFill="1" applyBorder="1" applyAlignment="1">
      <alignment horizontal="left" vertical="center"/>
    </xf>
    <xf numFmtId="0" fontId="33" fillId="0" borderId="30" xfId="0" applyFont="1" applyBorder="1"/>
    <xf numFmtId="0" fontId="97" fillId="0" borderId="0" xfId="0" applyFont="1" applyBorder="1" applyAlignment="1"/>
    <xf numFmtId="0" fontId="33" fillId="0" borderId="23" xfId="0" applyFont="1" applyBorder="1"/>
    <xf numFmtId="0" fontId="110" fillId="0" borderId="0" xfId="0" applyFont="1" applyBorder="1"/>
    <xf numFmtId="0" fontId="95" fillId="0" borderId="30" xfId="94" applyFont="1" applyBorder="1"/>
    <xf numFmtId="0" fontId="95" fillId="0" borderId="23" xfId="94" applyFont="1" applyBorder="1"/>
    <xf numFmtId="0" fontId="95" fillId="5" borderId="23" xfId="94" applyFont="1" applyFill="1" applyBorder="1"/>
    <xf numFmtId="0" fontId="38" fillId="0" borderId="0" xfId="94" applyFont="1" applyBorder="1"/>
    <xf numFmtId="0" fontId="103" fillId="0" borderId="0" xfId="94" applyFont="1" applyBorder="1" applyAlignment="1">
      <alignment horizontal="right"/>
    </xf>
    <xf numFmtId="165" fontId="95" fillId="0" borderId="0" xfId="94" applyNumberFormat="1" applyFont="1" applyBorder="1"/>
    <xf numFmtId="0" fontId="103" fillId="0" borderId="0" xfId="94" applyFont="1" applyBorder="1" applyAlignment="1">
      <alignment horizontal="center"/>
    </xf>
    <xf numFmtId="0" fontId="95" fillId="0" borderId="28" xfId="94" applyFont="1" applyBorder="1"/>
    <xf numFmtId="0" fontId="95" fillId="0" borderId="21" xfId="94" applyFont="1" applyBorder="1"/>
    <xf numFmtId="0" fontId="95" fillId="0" borderId="24" xfId="94" applyFont="1" applyBorder="1"/>
    <xf numFmtId="0" fontId="33" fillId="0" borderId="23" xfId="0" applyFont="1" applyBorder="1" applyAlignment="1">
      <alignment wrapText="1"/>
    </xf>
    <xf numFmtId="0" fontId="95" fillId="0" borderId="4" xfId="94" applyFont="1" applyBorder="1"/>
    <xf numFmtId="0" fontId="95" fillId="0" borderId="7" xfId="94" applyFont="1" applyBorder="1"/>
    <xf numFmtId="0" fontId="38" fillId="0" borderId="6" xfId="94" applyFont="1" applyBorder="1"/>
    <xf numFmtId="0" fontId="38" fillId="0" borderId="0" xfId="94" applyFont="1" applyFill="1" applyBorder="1"/>
    <xf numFmtId="0" fontId="39" fillId="20" borderId="5" xfId="2" applyFont="1" applyFill="1" applyBorder="1" applyAlignment="1"/>
    <xf numFmtId="4" fontId="39" fillId="5" borderId="0" xfId="94" applyNumberFormat="1" applyFont="1" applyFill="1" applyBorder="1" applyAlignment="1">
      <alignment vertical="center"/>
    </xf>
    <xf numFmtId="0" fontId="39" fillId="0" borderId="0" xfId="0" applyFont="1" applyFill="1" applyBorder="1" applyAlignment="1">
      <alignment horizontal="left" vertical="center"/>
    </xf>
    <xf numFmtId="0" fontId="95" fillId="5" borderId="21" xfId="94" applyFont="1" applyFill="1" applyBorder="1" applyAlignment="1">
      <alignment wrapText="1"/>
    </xf>
    <xf numFmtId="176" fontId="98" fillId="5" borderId="21" xfId="18" applyNumberFormat="1" applyFont="1" applyFill="1" applyBorder="1" applyAlignment="1">
      <alignment horizontal="center" wrapText="1"/>
    </xf>
    <xf numFmtId="0" fontId="98" fillId="5" borderId="21" xfId="94" applyFont="1" applyFill="1" applyBorder="1" applyAlignment="1">
      <alignment vertical="center"/>
    </xf>
    <xf numFmtId="0" fontId="39" fillId="0" borderId="21" xfId="0" applyFont="1" applyFill="1" applyBorder="1"/>
    <xf numFmtId="182" fontId="39" fillId="0" borderId="21" xfId="2" applyNumberFormat="1" applyFont="1" applyFill="1" applyBorder="1" applyAlignment="1">
      <alignment horizontal="center"/>
    </xf>
    <xf numFmtId="0" fontId="95" fillId="0" borderId="21" xfId="94" applyFont="1" applyFill="1" applyBorder="1"/>
    <xf numFmtId="0" fontId="47" fillId="5" borderId="0" xfId="0" applyFont="1" applyFill="1"/>
    <xf numFmtId="0" fontId="39" fillId="5" borderId="30" xfId="0" applyFont="1" applyFill="1" applyBorder="1" applyAlignment="1"/>
    <xf numFmtId="0" fontId="39" fillId="5" borderId="0" xfId="0" applyFont="1" applyFill="1" applyBorder="1" applyAlignment="1"/>
    <xf numFmtId="0" fontId="39" fillId="5" borderId="0" xfId="0" applyFont="1" applyFill="1" applyBorder="1" applyAlignment="1">
      <alignment horizontal="center"/>
    </xf>
    <xf numFmtId="0" fontId="47" fillId="5" borderId="0" xfId="0" applyFont="1" applyFill="1" applyBorder="1"/>
    <xf numFmtId="0" fontId="39" fillId="5" borderId="23" xfId="0" applyFont="1" applyFill="1" applyBorder="1" applyAlignment="1"/>
    <xf numFmtId="0" fontId="89" fillId="5" borderId="0" xfId="0" applyFont="1" applyFill="1"/>
    <xf numFmtId="0" fontId="89" fillId="5" borderId="0" xfId="0" applyFont="1" applyFill="1" applyBorder="1"/>
    <xf numFmtId="0" fontId="38" fillId="0" borderId="0" xfId="0" applyFont="1" applyBorder="1" applyAlignment="1">
      <alignment vertical="center" wrapText="1"/>
    </xf>
    <xf numFmtId="0" fontId="0" fillId="0" borderId="30" xfId="0" applyFill="1" applyBorder="1"/>
    <xf numFmtId="0" fontId="8" fillId="0" borderId="0" xfId="0" applyFont="1" applyFill="1" applyBorder="1"/>
    <xf numFmtId="0" fontId="8" fillId="0" borderId="23" xfId="0" applyFont="1" applyFill="1" applyBorder="1"/>
    <xf numFmtId="44" fontId="47" fillId="0" borderId="0" xfId="0" applyNumberFormat="1" applyFont="1" applyBorder="1" applyAlignment="1">
      <alignment horizontal="left"/>
    </xf>
    <xf numFmtId="44" fontId="0" fillId="0" borderId="0" xfId="0" applyNumberFormat="1" applyBorder="1" applyAlignment="1"/>
    <xf numFmtId="44" fontId="0" fillId="0" borderId="0" xfId="0" applyNumberFormat="1" applyBorder="1" applyAlignment="1">
      <alignment horizontal="center"/>
    </xf>
    <xf numFmtId="0" fontId="39" fillId="0" borderId="0" xfId="0" applyFont="1" applyBorder="1"/>
    <xf numFmtId="0" fontId="70" fillId="0" borderId="0" xfId="0" applyFont="1" applyBorder="1"/>
    <xf numFmtId="0" fontId="65" fillId="0" borderId="0" xfId="0" applyFont="1" applyBorder="1"/>
    <xf numFmtId="44" fontId="89" fillId="0" borderId="0" xfId="0" applyNumberFormat="1" applyFont="1" applyBorder="1" applyAlignment="1">
      <alignment horizontal="left"/>
    </xf>
    <xf numFmtId="0" fontId="49" fillId="0" borderId="0" xfId="0" applyFont="1" applyBorder="1" applyAlignment="1">
      <alignment horizontal="justify" vertical="center"/>
    </xf>
    <xf numFmtId="0" fontId="33" fillId="0" borderId="6" xfId="0" applyFont="1" applyBorder="1" applyAlignment="1">
      <alignment horizontal="center" vertical="center"/>
    </xf>
    <xf numFmtId="0" fontId="39" fillId="0" borderId="23" xfId="0" applyFont="1" applyFill="1" applyBorder="1"/>
    <xf numFmtId="0" fontId="0" fillId="0" borderId="30" xfId="0" applyBorder="1" applyAlignment="1">
      <alignment wrapText="1"/>
    </xf>
    <xf numFmtId="0" fontId="39" fillId="0" borderId="11" xfId="0" applyFont="1" applyFill="1" applyBorder="1" applyAlignment="1">
      <alignment horizontal="center" vertical="center" wrapText="1"/>
    </xf>
    <xf numFmtId="0" fontId="39" fillId="0" borderId="11" xfId="0" applyFont="1" applyFill="1" applyBorder="1" applyAlignment="1">
      <alignment horizontal="center" wrapText="1"/>
    </xf>
    <xf numFmtId="0" fontId="52" fillId="0" borderId="11" xfId="0" applyFont="1" applyFill="1" applyBorder="1" applyAlignment="1">
      <alignment horizontal="center"/>
    </xf>
    <xf numFmtId="0" fontId="52" fillId="0" borderId="40" xfId="0" applyFont="1" applyFill="1" applyBorder="1" applyAlignment="1">
      <alignment horizontal="center"/>
    </xf>
    <xf numFmtId="0" fontId="34" fillId="0" borderId="11" xfId="0" applyFont="1" applyFill="1" applyBorder="1" applyAlignment="1">
      <alignment horizontal="center"/>
    </xf>
    <xf numFmtId="0" fontId="34" fillId="0" borderId="40" xfId="0" applyFont="1" applyFill="1" applyBorder="1" applyAlignment="1">
      <alignment horizontal="center"/>
    </xf>
    <xf numFmtId="0" fontId="33" fillId="0" borderId="0" xfId="0" applyFont="1" applyBorder="1" applyAlignment="1">
      <alignment vertical="center" wrapText="1"/>
    </xf>
    <xf numFmtId="0" fontId="81" fillId="0" borderId="0" xfId="138" applyBorder="1"/>
    <xf numFmtId="0" fontId="33" fillId="0" borderId="3" xfId="0" applyFont="1" applyBorder="1"/>
    <xf numFmtId="0" fontId="0" fillId="0" borderId="0" xfId="0" applyBorder="1" applyAlignment="1">
      <alignment wrapText="1"/>
    </xf>
    <xf numFmtId="0" fontId="0" fillId="0" borderId="23" xfId="0" applyBorder="1" applyAlignment="1">
      <alignment wrapText="1"/>
    </xf>
    <xf numFmtId="2" fontId="33" fillId="0" borderId="23" xfId="0" applyNumberFormat="1" applyFont="1" applyFill="1" applyBorder="1" applyAlignment="1">
      <alignment horizontal="center"/>
    </xf>
    <xf numFmtId="0" fontId="0" fillId="0" borderId="23" xfId="0" applyFill="1" applyBorder="1" applyAlignment="1"/>
    <xf numFmtId="0" fontId="0" fillId="5" borderId="23" xfId="0" applyFill="1" applyBorder="1" applyAlignment="1"/>
    <xf numFmtId="0" fontId="90" fillId="0" borderId="0" xfId="0" applyFont="1" applyBorder="1"/>
    <xf numFmtId="0" fontId="70" fillId="0" borderId="9" xfId="0" applyFont="1" applyBorder="1"/>
    <xf numFmtId="0" fontId="38" fillId="0" borderId="0" xfId="0" applyFont="1" applyBorder="1"/>
    <xf numFmtId="44" fontId="38" fillId="0" borderId="0" xfId="0" applyNumberFormat="1" applyFont="1" applyBorder="1" applyAlignment="1">
      <alignment horizontal="left"/>
    </xf>
    <xf numFmtId="0" fontId="52" fillId="0" borderId="11" xfId="0" applyFont="1" applyFill="1" applyBorder="1" applyAlignment="1">
      <alignment horizontal="center" vertical="center" wrapText="1"/>
    </xf>
    <xf numFmtId="0" fontId="52" fillId="0" borderId="11" xfId="0" applyFont="1" applyFill="1" applyBorder="1" applyAlignment="1">
      <alignment horizontal="center" wrapText="1"/>
    </xf>
    <xf numFmtId="0" fontId="0" fillId="0" borderId="0" xfId="0" applyFont="1" applyBorder="1"/>
    <xf numFmtId="44" fontId="33" fillId="0" borderId="0" xfId="0" applyNumberFormat="1" applyFont="1" applyBorder="1" applyAlignment="1">
      <alignment horizontal="left"/>
    </xf>
    <xf numFmtId="0" fontId="64" fillId="0" borderId="11" xfId="0" applyFont="1" applyFill="1" applyBorder="1" applyAlignment="1">
      <alignment horizontal="center" vertical="center"/>
    </xf>
    <xf numFmtId="0" fontId="0" fillId="0" borderId="0" xfId="0" quotePrefix="1"/>
    <xf numFmtId="0" fontId="0" fillId="0" borderId="23" xfId="0" applyFill="1" applyBorder="1" applyAlignment="1">
      <alignment horizontal="center"/>
    </xf>
    <xf numFmtId="0" fontId="66" fillId="0" borderId="23" xfId="0" applyFont="1" applyFill="1" applyBorder="1"/>
    <xf numFmtId="0" fontId="0" fillId="5" borderId="23" xfId="0" applyFill="1" applyBorder="1" applyAlignment="1">
      <alignment horizontal="center"/>
    </xf>
    <xf numFmtId="0" fontId="66" fillId="5" borderId="23" xfId="0" applyFont="1" applyFill="1" applyBorder="1"/>
    <xf numFmtId="0" fontId="66" fillId="5" borderId="21" xfId="0" applyFont="1" applyFill="1" applyBorder="1"/>
    <xf numFmtId="0" fontId="66" fillId="5" borderId="24" xfId="0" applyFont="1" applyFill="1" applyBorder="1"/>
    <xf numFmtId="0" fontId="38" fillId="0" borderId="14" xfId="0" applyFont="1" applyFill="1" applyBorder="1" applyAlignment="1">
      <alignment horizontal="center"/>
    </xf>
    <xf numFmtId="3" fontId="48" fillId="0" borderId="18" xfId="0" applyNumberFormat="1" applyFont="1" applyFill="1" applyBorder="1" applyAlignment="1">
      <alignment horizontal="center"/>
    </xf>
    <xf numFmtId="0" fontId="95" fillId="0" borderId="14" xfId="94" applyFont="1" applyBorder="1"/>
    <xf numFmtId="0" fontId="95" fillId="0" borderId="18" xfId="94" applyFont="1" applyBorder="1"/>
    <xf numFmtId="0" fontId="86" fillId="0" borderId="7" xfId="0" applyFont="1" applyFill="1" applyBorder="1" applyAlignment="1">
      <alignment wrapText="1"/>
    </xf>
    <xf numFmtId="0" fontId="102" fillId="0" borderId="0" xfId="94" applyFont="1" applyBorder="1"/>
    <xf numFmtId="0" fontId="40" fillId="0" borderId="0" xfId="0" applyFont="1" applyBorder="1" applyAlignment="1">
      <alignment horizontal="center"/>
    </xf>
    <xf numFmtId="0" fontId="33" fillId="0" borderId="0" xfId="0" applyFont="1" applyBorder="1" applyAlignment="1">
      <alignment wrapText="1"/>
    </xf>
    <xf numFmtId="0" fontId="33" fillId="0" borderId="0" xfId="0" applyFont="1" applyBorder="1" applyAlignment="1">
      <alignment horizontal="left" wrapText="1"/>
    </xf>
    <xf numFmtId="0" fontId="38" fillId="0" borderId="0" xfId="0" applyFont="1" applyBorder="1" applyAlignment="1">
      <alignment horizontal="left" vertical="center" wrapText="1"/>
    </xf>
    <xf numFmtId="0" fontId="66" fillId="0" borderId="0" xfId="0" applyFont="1" applyFill="1" applyBorder="1"/>
    <xf numFmtId="0" fontId="0" fillId="0" borderId="0" xfId="0" applyFill="1" applyBorder="1"/>
    <xf numFmtId="0" fontId="0" fillId="0" borderId="0" xfId="0" applyFill="1" applyBorder="1" applyAlignment="1">
      <alignment horizontal="center"/>
    </xf>
    <xf numFmtId="0" fontId="66" fillId="5" borderId="0" xfId="0" applyFont="1" applyFill="1" applyBorder="1"/>
    <xf numFmtId="0" fontId="0" fillId="5" borderId="0" xfId="0" applyFill="1" applyBorder="1" applyAlignment="1">
      <alignment horizontal="center"/>
    </xf>
    <xf numFmtId="0" fontId="33" fillId="0" borderId="0" xfId="0" applyFont="1" applyFill="1" applyBorder="1" applyAlignment="1">
      <alignment horizontal="left" vertical="center"/>
    </xf>
    <xf numFmtId="0" fontId="34" fillId="0" borderId="14" xfId="0" applyFont="1" applyBorder="1" applyAlignment="1">
      <alignment horizontal="center" vertical="center"/>
    </xf>
    <xf numFmtId="0" fontId="34" fillId="0" borderId="14" xfId="0" applyFont="1" applyBorder="1" applyAlignment="1">
      <alignment horizontal="center" vertical="center" wrapText="1"/>
    </xf>
    <xf numFmtId="3" fontId="33" fillId="0" borderId="0" xfId="0" applyNumberFormat="1" applyFont="1" applyBorder="1" applyAlignment="1">
      <alignment horizontal="center"/>
    </xf>
    <xf numFmtId="0" fontId="33" fillId="0" borderId="0" xfId="0" applyFont="1" applyFill="1" applyBorder="1"/>
    <xf numFmtId="4" fontId="33" fillId="0" borderId="0" xfId="0" applyNumberFormat="1" applyFont="1" applyBorder="1" applyAlignment="1">
      <alignment horizontal="center"/>
    </xf>
    <xf numFmtId="0" fontId="33" fillId="0" borderId="62" xfId="0" applyFont="1" applyBorder="1"/>
    <xf numFmtId="0" fontId="65" fillId="0" borderId="0" xfId="0" applyFont="1"/>
    <xf numFmtId="0" fontId="58" fillId="0" borderId="0" xfId="0" applyFont="1" applyBorder="1"/>
    <xf numFmtId="0" fontId="49" fillId="0" borderId="0" xfId="0" applyFont="1" applyBorder="1" applyAlignment="1">
      <alignment horizontal="left" vertical="center"/>
    </xf>
    <xf numFmtId="0" fontId="33" fillId="5" borderId="0" xfId="0" applyFont="1" applyFill="1" applyBorder="1" applyAlignment="1"/>
    <xf numFmtId="0" fontId="77" fillId="5" borderId="0" xfId="0" applyFont="1" applyFill="1" applyBorder="1" applyAlignment="1">
      <alignment horizontal="left" vertical="center"/>
    </xf>
    <xf numFmtId="0" fontId="45" fillId="20" borderId="3" xfId="0" applyFont="1" applyFill="1" applyBorder="1"/>
    <xf numFmtId="0" fontId="45" fillId="20" borderId="5" xfId="0" applyFont="1" applyFill="1" applyBorder="1"/>
    <xf numFmtId="0" fontId="45" fillId="20" borderId="8" xfId="0" applyFont="1" applyFill="1" applyBorder="1"/>
    <xf numFmtId="0" fontId="45" fillId="17" borderId="0" xfId="0" applyFont="1" applyFill="1" applyBorder="1"/>
    <xf numFmtId="0" fontId="45" fillId="5" borderId="0" xfId="0" applyFont="1" applyFill="1" applyBorder="1"/>
    <xf numFmtId="0" fontId="0" fillId="5" borderId="0" xfId="0" applyFont="1" applyFill="1" applyBorder="1"/>
    <xf numFmtId="0" fontId="110" fillId="5" borderId="0" xfId="0" applyFont="1" applyFill="1" applyBorder="1"/>
    <xf numFmtId="2" fontId="0" fillId="0" borderId="0" xfId="0" applyNumberFormat="1" applyBorder="1"/>
    <xf numFmtId="0" fontId="45" fillId="0" borderId="0" xfId="0" applyFont="1" applyFill="1" applyBorder="1"/>
    <xf numFmtId="0" fontId="0" fillId="5" borderId="21" xfId="0" applyFill="1" applyBorder="1"/>
    <xf numFmtId="0" fontId="39" fillId="17" borderId="3" xfId="0" applyFont="1" applyFill="1" applyBorder="1"/>
    <xf numFmtId="0" fontId="0" fillId="0" borderId="7" xfId="0" applyBorder="1"/>
    <xf numFmtId="0" fontId="45" fillId="17" borderId="4" xfId="0" applyFont="1" applyFill="1" applyBorder="1" applyAlignment="1">
      <alignment horizontal="center"/>
    </xf>
    <xf numFmtId="0" fontId="39" fillId="17" borderId="0" xfId="0" applyFont="1" applyFill="1" applyBorder="1"/>
    <xf numFmtId="0" fontId="45" fillId="17" borderId="6" xfId="0" applyFont="1" applyFill="1" applyBorder="1"/>
    <xf numFmtId="0" fontId="84" fillId="0" borderId="0" xfId="0" applyFont="1" applyFill="1" applyBorder="1"/>
    <xf numFmtId="0" fontId="33" fillId="0" borderId="0" xfId="0" applyFont="1" applyBorder="1" applyAlignment="1">
      <alignment horizontal="center" vertical="center"/>
    </xf>
    <xf numFmtId="0" fontId="48" fillId="0" borderId="6" xfId="0" applyFont="1" applyBorder="1"/>
    <xf numFmtId="0" fontId="0" fillId="0" borderId="0" xfId="0" applyFill="1" applyAlignment="1">
      <alignment horizontal="left"/>
    </xf>
    <xf numFmtId="0" fontId="33" fillId="0" borderId="0" xfId="0" applyFont="1" applyFill="1" applyBorder="1" applyAlignment="1">
      <alignment horizontal="center"/>
    </xf>
    <xf numFmtId="0" fontId="33" fillId="0" borderId="0" xfId="0" applyFont="1" applyBorder="1" applyAlignment="1">
      <alignment horizontal="center"/>
    </xf>
    <xf numFmtId="0" fontId="33" fillId="5" borderId="7" xfId="0" applyFont="1" applyFill="1" applyBorder="1" applyAlignment="1">
      <alignment horizontal="center"/>
    </xf>
    <xf numFmtId="0" fontId="0" fillId="0" borderId="0" xfId="0" applyFill="1" applyBorder="1"/>
    <xf numFmtId="0" fontId="39" fillId="5" borderId="6" xfId="0" applyFont="1" applyFill="1" applyBorder="1" applyAlignment="1"/>
    <xf numFmtId="0" fontId="84" fillId="0" borderId="0" xfId="0" applyFont="1" applyFill="1" applyBorder="1" applyAlignment="1">
      <alignment vertical="center" wrapText="1"/>
    </xf>
    <xf numFmtId="0" fontId="33" fillId="0" borderId="0" xfId="0" applyFont="1" applyFill="1" applyBorder="1" applyAlignment="1">
      <alignment vertical="center"/>
    </xf>
    <xf numFmtId="0" fontId="33" fillId="0" borderId="6" xfId="0" applyFont="1" applyFill="1" applyBorder="1" applyAlignment="1"/>
    <xf numFmtId="0" fontId="33" fillId="0" borderId="0" xfId="0" applyFont="1" applyFill="1" applyBorder="1" applyAlignment="1"/>
    <xf numFmtId="0" fontId="90" fillId="0" borderId="0" xfId="0" applyFont="1" applyBorder="1" applyAlignment="1">
      <alignment horizontal="left" vertical="center" wrapText="1"/>
    </xf>
    <xf numFmtId="0" fontId="33" fillId="0" borderId="6" xfId="0" applyFont="1" applyFill="1" applyBorder="1"/>
    <xf numFmtId="0" fontId="33" fillId="0" borderId="6" xfId="0" applyFont="1" applyFill="1" applyBorder="1" applyAlignment="1">
      <alignment vertical="center"/>
    </xf>
    <xf numFmtId="0" fontId="33" fillId="0" borderId="0" xfId="0" applyFont="1" applyFill="1" applyBorder="1" applyAlignment="1">
      <alignment wrapText="1"/>
    </xf>
    <xf numFmtId="0" fontId="90" fillId="0" borderId="4" xfId="0" applyFont="1" applyBorder="1" applyAlignment="1">
      <alignment horizontal="center" vertical="center" wrapText="1"/>
    </xf>
    <xf numFmtId="0" fontId="38" fillId="0" borderId="5" xfId="0" applyFont="1" applyBorder="1" applyAlignment="1">
      <alignment horizontal="left" vertical="center" wrapText="1"/>
    </xf>
    <xf numFmtId="0" fontId="49" fillId="0" borderId="6" xfId="0" applyFont="1" applyBorder="1" applyAlignment="1">
      <alignment horizontal="left" vertical="center"/>
    </xf>
    <xf numFmtId="0" fontId="0" fillId="0" borderId="30" xfId="0" applyBorder="1" applyAlignment="1"/>
    <xf numFmtId="0" fontId="33" fillId="0" borderId="0" xfId="0" applyFont="1" applyFill="1" applyAlignment="1">
      <alignment vertical="center"/>
    </xf>
    <xf numFmtId="0" fontId="33" fillId="0" borderId="25" xfId="0" applyFont="1" applyFill="1" applyBorder="1" applyAlignment="1">
      <alignment vertical="center"/>
    </xf>
    <xf numFmtId="43" fontId="33" fillId="0" borderId="0" xfId="135" applyNumberFormat="1" applyFont="1" applyFill="1" applyBorder="1" applyAlignment="1">
      <alignment horizontal="center"/>
    </xf>
    <xf numFmtId="0" fontId="49" fillId="0" borderId="0" xfId="0" applyFont="1" applyFill="1" applyBorder="1" applyAlignment="1">
      <alignment vertical="center"/>
    </xf>
    <xf numFmtId="178" fontId="33" fillId="0" borderId="0" xfId="135" applyNumberFormat="1" applyFont="1" applyFill="1" applyBorder="1" applyAlignment="1">
      <alignment horizontal="center"/>
    </xf>
    <xf numFmtId="178" fontId="33" fillId="0" borderId="0" xfId="135" applyNumberFormat="1" applyFont="1" applyFill="1" applyBorder="1" applyAlignment="1">
      <alignment horizontal="center" wrapText="1"/>
    </xf>
    <xf numFmtId="0" fontId="49" fillId="0" borderId="0" xfId="0" applyFont="1" applyFill="1" applyBorder="1"/>
    <xf numFmtId="4" fontId="33" fillId="0" borderId="0" xfId="0" applyNumberFormat="1" applyFont="1" applyFill="1" applyBorder="1"/>
    <xf numFmtId="0" fontId="49" fillId="0" borderId="6" xfId="0" applyFont="1" applyBorder="1" applyAlignment="1">
      <alignment vertical="center"/>
    </xf>
    <xf numFmtId="0" fontId="49" fillId="0" borderId="0" xfId="0" applyFont="1" applyBorder="1" applyAlignment="1">
      <alignment vertical="center"/>
    </xf>
    <xf numFmtId="0" fontId="33" fillId="0" borderId="0" xfId="0" applyFont="1" applyBorder="1" applyAlignment="1">
      <alignment wrapText="1"/>
    </xf>
    <xf numFmtId="0" fontId="49" fillId="0" borderId="0" xfId="0" applyFont="1" applyBorder="1" applyAlignment="1">
      <alignment horizontal="left"/>
    </xf>
    <xf numFmtId="0" fontId="40" fillId="0" borderId="30" xfId="0" applyFont="1" applyFill="1" applyBorder="1" applyAlignment="1">
      <alignment horizontal="center" vertical="center"/>
    </xf>
    <xf numFmtId="0" fontId="40" fillId="0" borderId="0" xfId="0" applyFont="1" applyFill="1" applyBorder="1" applyAlignment="1">
      <alignment horizontal="center" vertical="center"/>
    </xf>
    <xf numFmtId="0" fontId="40" fillId="0" borderId="23" xfId="0" applyFont="1" applyFill="1" applyBorder="1" applyAlignment="1">
      <alignment horizontal="center" vertical="center"/>
    </xf>
    <xf numFmtId="0" fontId="0" fillId="0" borderId="0" xfId="0" applyFill="1" applyBorder="1"/>
    <xf numFmtId="4" fontId="39" fillId="17" borderId="38" xfId="0" applyNumberFormat="1" applyFont="1" applyFill="1" applyBorder="1" applyAlignment="1">
      <alignment horizontal="center"/>
    </xf>
    <xf numFmtId="4" fontId="39" fillId="17" borderId="41" xfId="0" applyNumberFormat="1" applyFont="1" applyFill="1" applyBorder="1" applyAlignment="1">
      <alignment horizontal="center"/>
    </xf>
    <xf numFmtId="0" fontId="41" fillId="0" borderId="0" xfId="0" applyFont="1" applyFill="1" applyBorder="1" applyAlignment="1"/>
    <xf numFmtId="0" fontId="0" fillId="0" borderId="0" xfId="0" applyFill="1" applyBorder="1" applyAlignment="1">
      <alignment wrapText="1"/>
    </xf>
    <xf numFmtId="0" fontId="112" fillId="0" borderId="0" xfId="0" applyFont="1" applyFill="1" applyBorder="1" applyAlignment="1">
      <alignment horizontal="center"/>
    </xf>
    <xf numFmtId="0" fontId="33" fillId="0" borderId="0" xfId="0" applyFont="1" applyFill="1" applyBorder="1" applyAlignment="1">
      <alignment vertical="center" wrapText="1"/>
    </xf>
    <xf numFmtId="0" fontId="33" fillId="0" borderId="0" xfId="0" applyFont="1" applyFill="1" applyBorder="1" applyAlignment="1">
      <alignment horizontal="center" vertical="center"/>
    </xf>
    <xf numFmtId="0" fontId="34" fillId="20" borderId="38" xfId="0" applyFont="1" applyFill="1" applyBorder="1" applyAlignment="1">
      <alignment horizontal="center"/>
    </xf>
    <xf numFmtId="0" fontId="34" fillId="20" borderId="41" xfId="0" applyFont="1" applyFill="1" applyBorder="1" applyAlignment="1">
      <alignment horizontal="center"/>
    </xf>
    <xf numFmtId="0" fontId="0" fillId="18" borderId="0" xfId="0" applyFill="1" applyAlignment="1">
      <alignment horizontal="left"/>
    </xf>
    <xf numFmtId="0" fontId="37" fillId="22" borderId="0" xfId="0" applyFont="1" applyFill="1" applyAlignment="1"/>
    <xf numFmtId="0" fontId="39" fillId="24" borderId="10" xfId="0" applyFont="1" applyFill="1" applyBorder="1"/>
    <xf numFmtId="0" fontId="39" fillId="24" borderId="3" xfId="0" applyFont="1" applyFill="1" applyBorder="1"/>
    <xf numFmtId="0" fontId="39" fillId="24" borderId="5" xfId="2" applyFont="1" applyFill="1" applyBorder="1"/>
    <xf numFmtId="0" fontId="39" fillId="24" borderId="8" xfId="0" applyFont="1" applyFill="1" applyBorder="1"/>
    <xf numFmtId="0" fontId="39" fillId="17" borderId="5" xfId="2" applyFont="1" applyFill="1" applyBorder="1"/>
    <xf numFmtId="4" fontId="39" fillId="17" borderId="10" xfId="3" applyNumberFormat="1" applyFont="1" applyFill="1" applyBorder="1" applyAlignment="1"/>
    <xf numFmtId="0" fontId="119" fillId="0" borderId="0" xfId="0" applyFont="1" applyAlignment="1">
      <alignment horizontal="center"/>
    </xf>
    <xf numFmtId="0" fontId="119" fillId="0" borderId="23" xfId="0" applyFont="1" applyBorder="1" applyAlignment="1">
      <alignment horizontal="center"/>
    </xf>
    <xf numFmtId="0" fontId="119" fillId="0" borderId="30" xfId="0" applyFont="1" applyBorder="1" applyAlignment="1">
      <alignment horizontal="center"/>
    </xf>
    <xf numFmtId="0" fontId="119" fillId="0" borderId="0" xfId="0" applyFont="1" applyBorder="1" applyAlignment="1">
      <alignment horizontal="center"/>
    </xf>
    <xf numFmtId="4" fontId="48" fillId="25" borderId="14" xfId="0" applyNumberFormat="1" applyFont="1" applyFill="1" applyBorder="1"/>
    <xf numFmtId="0" fontId="119" fillId="0" borderId="87" xfId="0" applyFont="1" applyBorder="1" applyAlignment="1">
      <alignment horizontal="center"/>
    </xf>
    <xf numFmtId="0" fontId="38" fillId="25" borderId="14" xfId="0" applyFont="1" applyFill="1" applyBorder="1"/>
    <xf numFmtId="3" fontId="38" fillId="25" borderId="62" xfId="0" applyNumberFormat="1" applyFont="1" applyFill="1" applyBorder="1" applyAlignment="1">
      <alignment horizontal="center"/>
    </xf>
    <xf numFmtId="3" fontId="38" fillId="25" borderId="14" xfId="0" applyNumberFormat="1" applyFont="1" applyFill="1" applyBorder="1" applyAlignment="1">
      <alignment horizontal="center"/>
    </xf>
    <xf numFmtId="4" fontId="38" fillId="25" borderId="14" xfId="0" applyNumberFormat="1" applyFont="1" applyFill="1" applyBorder="1" applyAlignment="1">
      <alignment horizontal="center" vertical="center"/>
    </xf>
    <xf numFmtId="0" fontId="52" fillId="0" borderId="6" xfId="0" applyFont="1" applyBorder="1"/>
    <xf numFmtId="0" fontId="33" fillId="0" borderId="6" xfId="0" applyFont="1" applyBorder="1" applyAlignment="1">
      <alignment vertical="center"/>
    </xf>
    <xf numFmtId="3" fontId="38" fillId="25" borderId="14" xfId="0" applyNumberFormat="1" applyFont="1" applyFill="1" applyBorder="1" applyAlignment="1">
      <alignment horizontal="center" vertical="center"/>
    </xf>
    <xf numFmtId="0" fontId="121" fillId="20" borderId="3" xfId="0" applyFont="1" applyFill="1" applyBorder="1"/>
    <xf numFmtId="0" fontId="45" fillId="20" borderId="6" xfId="0" applyFont="1" applyFill="1" applyBorder="1"/>
    <xf numFmtId="0" fontId="39" fillId="20" borderId="7" xfId="2" applyFont="1" applyFill="1" applyBorder="1"/>
    <xf numFmtId="186" fontId="39" fillId="20" borderId="10" xfId="3" applyNumberFormat="1" applyFont="1" applyFill="1" applyBorder="1" applyAlignment="1"/>
    <xf numFmtId="4" fontId="38" fillId="25" borderId="14" xfId="0" applyNumberFormat="1" applyFont="1" applyFill="1" applyBorder="1" applyAlignment="1">
      <alignment horizontal="center"/>
    </xf>
    <xf numFmtId="3" fontId="39" fillId="20" borderId="4" xfId="2" applyNumberFormat="1" applyFont="1" applyFill="1" applyBorder="1"/>
    <xf numFmtId="0" fontId="38" fillId="5" borderId="6" xfId="0" applyFont="1" applyFill="1" applyBorder="1" applyAlignment="1">
      <alignment vertical="center"/>
    </xf>
    <xf numFmtId="0" fontId="41" fillId="22" borderId="0" xfId="0" applyFont="1" applyFill="1" applyAlignment="1"/>
    <xf numFmtId="0" fontId="41" fillId="22" borderId="30" xfId="0" applyFont="1" applyFill="1" applyBorder="1" applyAlignment="1"/>
    <xf numFmtId="0" fontId="41" fillId="5" borderId="0" xfId="0" applyFont="1" applyFill="1" applyAlignment="1"/>
    <xf numFmtId="0" fontId="42" fillId="22" borderId="0" xfId="0" applyFont="1" applyFill="1" applyBorder="1" applyAlignment="1"/>
    <xf numFmtId="3" fontId="48" fillId="25" borderId="13" xfId="0" applyNumberFormat="1" applyFont="1" applyFill="1" applyBorder="1" applyAlignment="1">
      <alignment horizontal="center"/>
    </xf>
    <xf numFmtId="3" fontId="48" fillId="25" borderId="39" xfId="0" applyNumberFormat="1" applyFont="1" applyFill="1" applyBorder="1" applyAlignment="1">
      <alignment horizontal="center"/>
    </xf>
    <xf numFmtId="0" fontId="38" fillId="0" borderId="9" xfId="0" applyFont="1" applyFill="1" applyBorder="1"/>
    <xf numFmtId="0" fontId="39" fillId="20" borderId="3" xfId="0" applyFont="1" applyFill="1" applyBorder="1" applyAlignment="1"/>
    <xf numFmtId="0" fontId="39" fillId="20" borderId="8" xfId="0" applyFont="1" applyFill="1" applyBorder="1" applyAlignment="1"/>
    <xf numFmtId="3" fontId="39" fillId="20" borderId="9" xfId="0" applyNumberFormat="1" applyFont="1" applyFill="1" applyBorder="1" applyAlignment="1">
      <alignment horizontal="right"/>
    </xf>
    <xf numFmtId="0" fontId="33" fillId="0" borderId="28" xfId="0" applyFont="1" applyBorder="1"/>
    <xf numFmtId="0" fontId="33" fillId="0" borderId="24" xfId="0" applyFont="1" applyBorder="1"/>
    <xf numFmtId="4" fontId="48" fillId="25" borderId="14" xfId="0" applyNumberFormat="1" applyFont="1" applyFill="1" applyBorder="1" applyAlignment="1">
      <alignment horizontal="center"/>
    </xf>
    <xf numFmtId="3" fontId="48" fillId="25" borderId="14" xfId="0" applyNumberFormat="1" applyFont="1" applyFill="1" applyBorder="1" applyAlignment="1">
      <alignment horizontal="center"/>
    </xf>
    <xf numFmtId="3" fontId="48" fillId="25" borderId="18" xfId="0" applyNumberFormat="1" applyFont="1" applyFill="1" applyBorder="1" applyAlignment="1">
      <alignment horizontal="center"/>
    </xf>
    <xf numFmtId="3" fontId="38" fillId="25" borderId="71" xfId="0" applyNumberFormat="1" applyFont="1" applyFill="1" applyBorder="1" applyAlignment="1">
      <alignment horizontal="center"/>
    </xf>
    <xf numFmtId="3" fontId="48" fillId="25" borderId="80" xfId="0" applyNumberFormat="1" applyFont="1" applyFill="1" applyBorder="1" applyAlignment="1">
      <alignment horizontal="center"/>
    </xf>
    <xf numFmtId="4" fontId="39" fillId="24" borderId="4" xfId="2" applyNumberFormat="1" applyFont="1" applyFill="1" applyBorder="1" applyAlignment="1">
      <alignment horizontal="right"/>
    </xf>
    <xf numFmtId="0" fontId="39" fillId="24" borderId="8" xfId="0" applyFont="1" applyFill="1" applyBorder="1" applyAlignment="1"/>
    <xf numFmtId="0" fontId="39" fillId="24" borderId="10" xfId="0" applyFont="1" applyFill="1" applyBorder="1" applyAlignment="1"/>
    <xf numFmtId="0" fontId="42" fillId="26" borderId="0" xfId="0" applyFont="1" applyFill="1" applyBorder="1" applyAlignment="1"/>
    <xf numFmtId="0" fontId="42" fillId="26" borderId="23" xfId="0" applyFont="1" applyFill="1" applyBorder="1" applyAlignment="1"/>
    <xf numFmtId="0" fontId="41" fillId="5" borderId="0" xfId="0" applyFont="1" applyFill="1" applyBorder="1" applyAlignment="1">
      <alignment horizontal="center"/>
    </xf>
    <xf numFmtId="0" fontId="60" fillId="5" borderId="0" xfId="0" applyFont="1" applyFill="1" applyBorder="1"/>
    <xf numFmtId="0" fontId="63" fillId="5" borderId="0" xfId="0" applyFont="1" applyFill="1" applyBorder="1" applyAlignment="1">
      <alignment vertical="center"/>
    </xf>
    <xf numFmtId="1" fontId="38" fillId="5" borderId="0" xfId="0" applyNumberFormat="1" applyFont="1" applyFill="1" applyBorder="1"/>
    <xf numFmtId="0" fontId="95" fillId="5" borderId="18" xfId="0" applyFont="1" applyFill="1" applyBorder="1" applyAlignment="1">
      <alignment horizontal="center" vertical="center"/>
    </xf>
    <xf numFmtId="0" fontId="109" fillId="0" borderId="0" xfId="0" applyFont="1" applyFill="1" applyBorder="1"/>
    <xf numFmtId="0" fontId="38" fillId="25" borderId="14" xfId="0" applyFont="1" applyFill="1" applyBorder="1" applyAlignment="1">
      <alignment horizontal="center" vertical="center"/>
    </xf>
    <xf numFmtId="0" fontId="95" fillId="0" borderId="0" xfId="94" applyFont="1" applyFill="1" applyBorder="1"/>
    <xf numFmtId="165" fontId="33" fillId="0" borderId="0" xfId="0" applyNumberFormat="1" applyFont="1" applyBorder="1" applyAlignment="1">
      <alignment horizontal="center" vertical="center"/>
    </xf>
    <xf numFmtId="0" fontId="33" fillId="0" borderId="0" xfId="0" applyFont="1" applyBorder="1" applyAlignment="1">
      <alignment horizontal="center" vertical="center" wrapText="1"/>
    </xf>
    <xf numFmtId="0" fontId="83" fillId="0" borderId="0" xfId="0" applyFont="1" applyBorder="1"/>
    <xf numFmtId="0" fontId="95" fillId="5" borderId="18" xfId="94" applyFont="1" applyFill="1" applyBorder="1" applyAlignment="1">
      <alignment wrapText="1"/>
    </xf>
    <xf numFmtId="0" fontId="38" fillId="25" borderId="62" xfId="0" applyFont="1" applyFill="1" applyBorder="1" applyAlignment="1">
      <alignment horizontal="center" vertical="center"/>
    </xf>
    <xf numFmtId="0" fontId="38" fillId="25" borderId="18" xfId="94" applyFont="1" applyFill="1" applyBorder="1"/>
    <xf numFmtId="0" fontId="38" fillId="25" borderId="14" xfId="0" applyFont="1" applyFill="1" applyBorder="1" applyAlignment="1">
      <alignment horizontal="center"/>
    </xf>
    <xf numFmtId="0" fontId="38" fillId="25" borderId="14" xfId="0" applyFont="1" applyFill="1" applyBorder="1" applyAlignment="1">
      <alignment horizontal="center" wrapText="1"/>
    </xf>
    <xf numFmtId="9" fontId="38" fillId="25" borderId="14" xfId="136" applyFont="1" applyFill="1" applyBorder="1" applyAlignment="1">
      <alignment horizontal="center"/>
    </xf>
    <xf numFmtId="0" fontId="95" fillId="25" borderId="18" xfId="94" applyFont="1" applyFill="1" applyBorder="1"/>
    <xf numFmtId="0" fontId="38" fillId="0" borderId="8" xfId="0" applyFont="1" applyFill="1" applyBorder="1"/>
    <xf numFmtId="0" fontId="38" fillId="0" borderId="9" xfId="94" applyFont="1" applyBorder="1"/>
    <xf numFmtId="0" fontId="38" fillId="25" borderId="57" xfId="0" applyFont="1" applyFill="1" applyBorder="1" applyAlignment="1">
      <alignment horizontal="center"/>
    </xf>
    <xf numFmtId="0" fontId="95" fillId="25" borderId="73" xfId="94" applyFont="1" applyFill="1" applyBorder="1"/>
    <xf numFmtId="0" fontId="95" fillId="0" borderId="80" xfId="94" applyFont="1" applyFill="1" applyBorder="1"/>
    <xf numFmtId="9" fontId="38" fillId="0" borderId="14" xfId="136" applyFont="1" applyFill="1" applyBorder="1" applyAlignment="1">
      <alignment horizontal="center"/>
    </xf>
    <xf numFmtId="0" fontId="38" fillId="0" borderId="18" xfId="94" applyFont="1" applyFill="1" applyBorder="1"/>
    <xf numFmtId="0" fontId="38" fillId="0" borderId="62" xfId="0" applyFont="1" applyFill="1" applyBorder="1" applyAlignment="1">
      <alignment horizontal="center" vertical="center"/>
    </xf>
    <xf numFmtId="0" fontId="38" fillId="0" borderId="57" xfId="0" applyFont="1" applyFill="1" applyBorder="1" applyAlignment="1">
      <alignment horizontal="center"/>
    </xf>
    <xf numFmtId="0" fontId="38" fillId="25" borderId="57" xfId="0" applyFont="1" applyFill="1" applyBorder="1" applyAlignment="1">
      <alignment horizontal="center" vertical="center"/>
    </xf>
    <xf numFmtId="0" fontId="38" fillId="25" borderId="73" xfId="94" applyFont="1" applyFill="1" applyBorder="1" applyAlignment="1">
      <alignment vertical="center"/>
    </xf>
    <xf numFmtId="182" fontId="52" fillId="20" borderId="10" xfId="2" applyNumberFormat="1" applyFont="1" applyFill="1" applyBorder="1" applyAlignment="1"/>
    <xf numFmtId="0" fontId="95" fillId="0" borderId="0" xfId="94" applyFont="1" applyBorder="1" applyAlignment="1">
      <alignment vertical="center"/>
    </xf>
    <xf numFmtId="10" fontId="38" fillId="25" borderId="14" xfId="136" applyNumberFormat="1" applyFont="1" applyFill="1" applyBorder="1" applyAlignment="1">
      <alignment horizontal="center"/>
    </xf>
    <xf numFmtId="0" fontId="38" fillId="0" borderId="6" xfId="0" applyFont="1" applyFill="1" applyBorder="1" applyAlignment="1">
      <alignment vertical="center"/>
    </xf>
    <xf numFmtId="10" fontId="38" fillId="25" borderId="14" xfId="136" applyNumberFormat="1" applyFont="1" applyFill="1" applyBorder="1" applyAlignment="1">
      <alignment horizontal="center" vertical="center"/>
    </xf>
    <xf numFmtId="0" fontId="95" fillId="25" borderId="66" xfId="94" applyFont="1" applyFill="1" applyBorder="1"/>
    <xf numFmtId="0" fontId="125" fillId="25" borderId="18" xfId="138" applyFont="1" applyFill="1" applyBorder="1" applyAlignment="1">
      <alignment vertical="center" wrapText="1"/>
    </xf>
    <xf numFmtId="0" fontId="38" fillId="0" borderId="8" xfId="94" applyFont="1" applyBorder="1"/>
    <xf numFmtId="0" fontId="95" fillId="0" borderId="9" xfId="94" applyFont="1" applyBorder="1"/>
    <xf numFmtId="2" fontId="38" fillId="0" borderId="0" xfId="94" applyNumberFormat="1" applyFont="1" applyFill="1" applyBorder="1" applyAlignment="1">
      <alignment horizontal="center" vertical="center"/>
    </xf>
    <xf numFmtId="182" fontId="39" fillId="20" borderId="10" xfId="2" applyNumberFormat="1" applyFont="1" applyFill="1" applyBorder="1" applyAlignment="1"/>
    <xf numFmtId="183" fontId="38" fillId="25" borderId="14" xfId="136" applyNumberFormat="1" applyFont="1" applyFill="1" applyBorder="1" applyAlignment="1">
      <alignment horizontal="center"/>
    </xf>
    <xf numFmtId="0" fontId="83" fillId="0" borderId="0" xfId="0" applyFont="1" applyBorder="1" applyAlignment="1">
      <alignment vertical="center" wrapText="1"/>
    </xf>
    <xf numFmtId="4" fontId="45" fillId="0" borderId="0" xfId="0" applyNumberFormat="1" applyFont="1" applyFill="1" applyBorder="1" applyAlignment="1">
      <alignment horizontal="center"/>
    </xf>
    <xf numFmtId="44" fontId="0" fillId="0" borderId="0" xfId="0" applyNumberFormat="1" applyFill="1" applyBorder="1" applyAlignment="1"/>
    <xf numFmtId="4" fontId="45" fillId="17" borderId="10" xfId="0" applyNumberFormat="1" applyFont="1" applyFill="1" applyBorder="1" applyAlignment="1">
      <alignment horizontal="left"/>
    </xf>
    <xf numFmtId="0" fontId="38" fillId="0" borderId="6" xfId="0" applyFont="1" applyFill="1" applyBorder="1" applyAlignment="1">
      <alignment horizontal="left" vertical="center"/>
    </xf>
    <xf numFmtId="0" fontId="48" fillId="0" borderId="6" xfId="0" applyFont="1" applyBorder="1" applyAlignment="1">
      <alignment horizontal="left" vertical="center"/>
    </xf>
    <xf numFmtId="0" fontId="45" fillId="24" borderId="3" xfId="0" applyFont="1" applyFill="1" applyBorder="1"/>
    <xf numFmtId="0" fontId="45" fillId="24" borderId="8" xfId="0" applyFont="1" applyFill="1" applyBorder="1"/>
    <xf numFmtId="4" fontId="45" fillId="24" borderId="9" xfId="3" applyNumberFormat="1" applyFont="1" applyFill="1" applyBorder="1" applyAlignment="1"/>
    <xf numFmtId="4" fontId="45" fillId="24" borderId="10" xfId="3" applyNumberFormat="1" applyFont="1" applyFill="1" applyBorder="1" applyAlignment="1"/>
    <xf numFmtId="3" fontId="48" fillId="25" borderId="62" xfId="0" applyNumberFormat="1" applyFont="1" applyFill="1" applyBorder="1" applyAlignment="1">
      <alignment horizontal="center" vertical="center"/>
    </xf>
    <xf numFmtId="3" fontId="48" fillId="25" borderId="14" xfId="0" applyNumberFormat="1" applyFont="1" applyFill="1" applyBorder="1" applyAlignment="1">
      <alignment horizontal="center" vertical="center"/>
    </xf>
    <xf numFmtId="0" fontId="82" fillId="25" borderId="14" xfId="0" applyFont="1" applyFill="1" applyBorder="1" applyAlignment="1">
      <alignment horizontal="center" wrapText="1"/>
    </xf>
    <xf numFmtId="0" fontId="82" fillId="25" borderId="18" xfId="0" applyFont="1" applyFill="1" applyBorder="1" applyAlignment="1">
      <alignment horizontal="center" wrapText="1"/>
    </xf>
    <xf numFmtId="3" fontId="48" fillId="25" borderId="11" xfId="0" applyNumberFormat="1" applyFont="1" applyFill="1" applyBorder="1" applyAlignment="1">
      <alignment horizontal="center"/>
    </xf>
    <xf numFmtId="3" fontId="48" fillId="25" borderId="40" xfId="0" applyNumberFormat="1" applyFont="1" applyFill="1" applyBorder="1" applyAlignment="1">
      <alignment horizontal="center"/>
    </xf>
    <xf numFmtId="4" fontId="34" fillId="24" borderId="38" xfId="0" applyNumberFormat="1" applyFont="1" applyFill="1" applyBorder="1" applyAlignment="1">
      <alignment horizontal="center"/>
    </xf>
    <xf numFmtId="4" fontId="34" fillId="24" borderId="41" xfId="0" applyNumberFormat="1" applyFont="1" applyFill="1" applyBorder="1" applyAlignment="1">
      <alignment horizontal="center"/>
    </xf>
    <xf numFmtId="4" fontId="52" fillId="17" borderId="38" xfId="0" applyNumberFormat="1" applyFont="1" applyFill="1" applyBorder="1" applyAlignment="1">
      <alignment horizontal="center"/>
    </xf>
    <xf numFmtId="4" fontId="52" fillId="17" borderId="41" xfId="0" applyNumberFormat="1" applyFont="1" applyFill="1" applyBorder="1" applyAlignment="1">
      <alignment horizontal="center"/>
    </xf>
    <xf numFmtId="0" fontId="33" fillId="5" borderId="0" xfId="0" applyFont="1" applyFill="1" applyBorder="1" applyAlignment="1">
      <alignment horizontal="right" vertical="center"/>
    </xf>
    <xf numFmtId="0" fontId="33" fillId="0" borderId="0" xfId="0" applyFont="1" applyFill="1" applyBorder="1" applyAlignment="1">
      <alignment horizontal="right" vertical="center"/>
    </xf>
    <xf numFmtId="0" fontId="84" fillId="0" borderId="0" xfId="0" applyFont="1" applyFill="1" applyBorder="1" applyAlignment="1">
      <alignment horizontal="right" vertical="center"/>
    </xf>
    <xf numFmtId="0" fontId="49" fillId="0" borderId="52" xfId="0" applyFont="1" applyFill="1" applyBorder="1" applyAlignment="1">
      <alignment horizontal="center" vertical="center"/>
    </xf>
    <xf numFmtId="178" fontId="33" fillId="25" borderId="11" xfId="135" applyNumberFormat="1" applyFont="1" applyFill="1" applyBorder="1" applyAlignment="1">
      <alignment horizontal="center"/>
    </xf>
    <xf numFmtId="178" fontId="33" fillId="25" borderId="11" xfId="135" applyNumberFormat="1" applyFont="1" applyFill="1" applyBorder="1" applyAlignment="1">
      <alignment horizontal="center" wrapText="1"/>
    </xf>
    <xf numFmtId="43" fontId="33" fillId="25" borderId="11" xfId="135" applyNumberFormat="1" applyFont="1" applyFill="1" applyBorder="1" applyAlignment="1">
      <alignment horizontal="center"/>
    </xf>
    <xf numFmtId="0" fontId="33" fillId="0" borderId="0" xfId="0" applyFont="1" applyAlignment="1">
      <alignment horizontal="left" vertical="top"/>
    </xf>
    <xf numFmtId="0" fontId="39" fillId="20" borderId="8" xfId="0" applyFont="1" applyFill="1" applyBorder="1" applyAlignment="1">
      <alignment horizontal="left"/>
    </xf>
    <xf numFmtId="0" fontId="33" fillId="25" borderId="14" xfId="0" applyFont="1" applyFill="1" applyBorder="1"/>
    <xf numFmtId="0" fontId="33" fillId="0" borderId="14" xfId="0" applyFont="1" applyBorder="1"/>
    <xf numFmtId="0" fontId="39" fillId="20" borderId="3" xfId="0" applyFont="1" applyFill="1" applyBorder="1" applyAlignment="1">
      <alignment horizontal="left"/>
    </xf>
    <xf numFmtId="0" fontId="0" fillId="5" borderId="0" xfId="0" applyFill="1" applyBorder="1"/>
    <xf numFmtId="0" fontId="38" fillId="0" borderId="0" xfId="0" applyFont="1" applyFill="1" applyBorder="1" applyAlignment="1"/>
    <xf numFmtId="0" fontId="38" fillId="0" borderId="0" xfId="94" applyFont="1" applyFill="1" applyBorder="1" applyAlignment="1">
      <alignment horizontal="left" vertical="center" wrapText="1"/>
    </xf>
    <xf numFmtId="0" fontId="38" fillId="0" borderId="6" xfId="0" applyFont="1" applyFill="1" applyBorder="1" applyAlignment="1">
      <alignment horizontal="right"/>
    </xf>
    <xf numFmtId="0" fontId="38" fillId="0" borderId="0" xfId="0" applyFont="1" applyFill="1" applyBorder="1" applyAlignment="1">
      <alignment horizontal="right"/>
    </xf>
    <xf numFmtId="0" fontId="52" fillId="0" borderId="0" xfId="0" applyFont="1" applyFill="1" applyBorder="1" applyAlignment="1">
      <alignment horizontal="right"/>
    </xf>
    <xf numFmtId="0" fontId="38" fillId="0" borderId="0" xfId="0" applyFont="1" applyBorder="1" applyAlignment="1">
      <alignment horizontal="left" vertical="center" wrapText="1"/>
    </xf>
    <xf numFmtId="0" fontId="33" fillId="0" borderId="0" xfId="0" applyFont="1" applyFill="1" applyBorder="1" applyAlignment="1"/>
    <xf numFmtId="0" fontId="7" fillId="5" borderId="0" xfId="0" applyFont="1" applyFill="1" applyBorder="1" applyAlignment="1">
      <alignment horizontal="center"/>
    </xf>
    <xf numFmtId="0" fontId="5" fillId="5" borderId="0" xfId="0" applyFont="1" applyFill="1" applyBorder="1" applyAlignment="1">
      <alignment horizontal="center"/>
    </xf>
    <xf numFmtId="0" fontId="54" fillId="0" borderId="0" xfId="0" applyFont="1" applyFill="1" applyBorder="1"/>
    <xf numFmtId="0" fontId="39" fillId="0" borderId="30" xfId="0" applyFont="1" applyFill="1" applyBorder="1" applyAlignment="1"/>
    <xf numFmtId="0" fontId="38" fillId="0" borderId="6" xfId="0" applyFont="1" applyBorder="1" applyAlignment="1"/>
    <xf numFmtId="0" fontId="33" fillId="5" borderId="0" xfId="0" applyFont="1" applyFill="1" applyAlignment="1">
      <alignment horizontal="left" vertical="center"/>
    </xf>
    <xf numFmtId="0" fontId="48" fillId="25" borderId="14" xfId="0" applyFont="1" applyFill="1" applyBorder="1" applyAlignment="1">
      <alignment horizontal="center" vertical="center"/>
    </xf>
    <xf numFmtId="0" fontId="33" fillId="5" borderId="11" xfId="0" applyFont="1" applyFill="1" applyBorder="1"/>
    <xf numFmtId="0" fontId="33" fillId="5" borderId="11" xfId="0" applyFont="1" applyFill="1" applyBorder="1" applyAlignment="1">
      <alignment horizontal="center"/>
    </xf>
    <xf numFmtId="0" fontId="33" fillId="5" borderId="4" xfId="0" applyFont="1" applyFill="1" applyBorder="1"/>
    <xf numFmtId="0" fontId="39" fillId="24" borderId="4" xfId="0" applyFont="1" applyFill="1" applyBorder="1" applyAlignment="1">
      <alignment horizontal="left"/>
    </xf>
    <xf numFmtId="3" fontId="39" fillId="24" borderId="4" xfId="2" applyNumberFormat="1" applyFont="1" applyFill="1" applyBorder="1"/>
    <xf numFmtId="0" fontId="39" fillId="24" borderId="6" xfId="0" applyFont="1" applyFill="1" applyBorder="1" applyAlignment="1">
      <alignment horizontal="left"/>
    </xf>
    <xf numFmtId="0" fontId="39" fillId="24" borderId="0" xfId="0" applyFont="1" applyFill="1" applyBorder="1" applyAlignment="1">
      <alignment horizontal="left"/>
    </xf>
    <xf numFmtId="3" fontId="39" fillId="24" borderId="0" xfId="2" applyNumberFormat="1" applyFont="1" applyFill="1" applyBorder="1"/>
    <xf numFmtId="0" fontId="39" fillId="24" borderId="7" xfId="2" applyFont="1" applyFill="1" applyBorder="1"/>
    <xf numFmtId="0" fontId="39" fillId="24" borderId="8" xfId="0" applyFont="1" applyFill="1" applyBorder="1" applyAlignment="1">
      <alignment horizontal="left"/>
    </xf>
    <xf numFmtId="0" fontId="47" fillId="5" borderId="30" xfId="0" applyFont="1" applyFill="1" applyBorder="1"/>
    <xf numFmtId="0" fontId="47" fillId="5" borderId="4" xfId="0" applyFont="1" applyFill="1" applyBorder="1"/>
    <xf numFmtId="0" fontId="47" fillId="5" borderId="23" xfId="0" applyFont="1" applyFill="1" applyBorder="1"/>
    <xf numFmtId="0" fontId="89" fillId="5" borderId="30" xfId="0" applyFont="1" applyFill="1" applyBorder="1"/>
    <xf numFmtId="0" fontId="89" fillId="5" borderId="23" xfId="0" applyFont="1" applyFill="1" applyBorder="1"/>
    <xf numFmtId="0" fontId="0" fillId="5" borderId="0" xfId="0" applyFill="1" applyBorder="1"/>
    <xf numFmtId="4" fontId="48" fillId="25" borderId="71" xfId="0" applyNumberFormat="1" applyFont="1" applyFill="1" applyBorder="1" applyAlignment="1">
      <alignment horizontal="center" vertical="center"/>
    </xf>
    <xf numFmtId="43" fontId="101" fillId="24" borderId="5" xfId="135" applyFont="1" applyFill="1" applyBorder="1" applyAlignment="1"/>
    <xf numFmtId="184" fontId="48" fillId="25" borderId="14" xfId="0" applyNumberFormat="1" applyFont="1" applyFill="1" applyBorder="1" applyAlignment="1">
      <alignment horizontal="center"/>
    </xf>
    <xf numFmtId="9" fontId="48" fillId="25" borderId="14" xfId="136" applyFont="1" applyFill="1" applyBorder="1" applyAlignment="1">
      <alignment horizontal="center" vertical="center"/>
    </xf>
    <xf numFmtId="4" fontId="48" fillId="25" borderId="60" xfId="0" applyNumberFormat="1" applyFont="1" applyFill="1" applyBorder="1" applyAlignment="1">
      <alignment horizontal="center" wrapText="1"/>
    </xf>
    <xf numFmtId="4" fontId="48" fillId="25" borderId="65" xfId="0" applyNumberFormat="1" applyFont="1" applyFill="1" applyBorder="1" applyAlignment="1">
      <alignment horizontal="center" wrapText="1"/>
    </xf>
    <xf numFmtId="4" fontId="48" fillId="25" borderId="52" xfId="0" applyNumberFormat="1" applyFont="1" applyFill="1" applyBorder="1" applyAlignment="1">
      <alignment horizontal="center"/>
    </xf>
    <xf numFmtId="4" fontId="48" fillId="25" borderId="11" xfId="0" applyNumberFormat="1" applyFont="1" applyFill="1" applyBorder="1" applyAlignment="1">
      <alignment horizontal="center"/>
    </xf>
    <xf numFmtId="4" fontId="48" fillId="25" borderId="38" xfId="0" applyNumberFormat="1" applyFont="1" applyFill="1" applyBorder="1" applyAlignment="1">
      <alignment horizontal="center"/>
    </xf>
    <xf numFmtId="4" fontId="48" fillId="25" borderId="89" xfId="0" applyNumberFormat="1" applyFont="1" applyFill="1" applyBorder="1" applyAlignment="1">
      <alignment horizontal="center"/>
    </xf>
    <xf numFmtId="4" fontId="48" fillId="25" borderId="90" xfId="0" applyNumberFormat="1" applyFont="1" applyFill="1" applyBorder="1" applyAlignment="1">
      <alignment horizontal="center"/>
    </xf>
    <xf numFmtId="4" fontId="48" fillId="25" borderId="91" xfId="0" applyNumberFormat="1" applyFont="1" applyFill="1" applyBorder="1" applyAlignment="1">
      <alignment horizontal="center"/>
    </xf>
    <xf numFmtId="0" fontId="33" fillId="0" borderId="4" xfId="0" applyFont="1" applyBorder="1"/>
    <xf numFmtId="4" fontId="48" fillId="25" borderId="92" xfId="0" applyNumberFormat="1" applyFont="1" applyFill="1" applyBorder="1" applyAlignment="1">
      <alignment horizontal="center" wrapText="1"/>
    </xf>
    <xf numFmtId="0" fontId="39" fillId="24" borderId="5" xfId="0" applyFont="1" applyFill="1" applyBorder="1"/>
    <xf numFmtId="3" fontId="34" fillId="24" borderId="12" xfId="0" applyNumberFormat="1" applyFont="1" applyFill="1" applyBorder="1" applyAlignment="1">
      <alignment horizontal="center"/>
    </xf>
    <xf numFmtId="0" fontId="34" fillId="24" borderId="12" xfId="0" applyFont="1" applyFill="1" applyBorder="1" applyAlignment="1">
      <alignment horizontal="center"/>
    </xf>
    <xf numFmtId="0" fontId="34" fillId="24" borderId="78" xfId="0" applyFont="1" applyFill="1" applyBorder="1" applyAlignment="1">
      <alignment horizontal="center"/>
    </xf>
    <xf numFmtId="0" fontId="58" fillId="0" borderId="6" xfId="0" applyFont="1" applyBorder="1"/>
    <xf numFmtId="0" fontId="38" fillId="0" borderId="0" xfId="0" applyFont="1" applyFill="1" applyBorder="1" applyAlignment="1">
      <alignment horizontal="left" vertical="center"/>
    </xf>
    <xf numFmtId="0" fontId="33" fillId="25" borderId="38" xfId="0" applyFont="1" applyFill="1" applyBorder="1"/>
    <xf numFmtId="2" fontId="33" fillId="25" borderId="38" xfId="0" applyNumberFormat="1" applyFont="1" applyFill="1" applyBorder="1" applyAlignment="1">
      <alignment horizontal="center"/>
    </xf>
    <xf numFmtId="2" fontId="33" fillId="25" borderId="41" xfId="0" applyNumberFormat="1" applyFont="1" applyFill="1" applyBorder="1" applyAlignment="1">
      <alignment horizontal="center"/>
    </xf>
    <xf numFmtId="0" fontId="49" fillId="25" borderId="13" xfId="0" applyFont="1" applyFill="1" applyBorder="1" applyAlignment="1">
      <alignment vertical="center"/>
    </xf>
    <xf numFmtId="0" fontId="49" fillId="25" borderId="39" xfId="0" applyFont="1" applyFill="1" applyBorder="1" applyAlignment="1">
      <alignment vertical="center"/>
    </xf>
    <xf numFmtId="178" fontId="33" fillId="25" borderId="40" xfId="135" applyNumberFormat="1" applyFont="1" applyFill="1" applyBorder="1" applyAlignment="1">
      <alignment horizontal="center"/>
    </xf>
    <xf numFmtId="178" fontId="33" fillId="25" borderId="40" xfId="135" applyNumberFormat="1" applyFont="1" applyFill="1" applyBorder="1" applyAlignment="1">
      <alignment horizontal="center" wrapText="1"/>
    </xf>
    <xf numFmtId="43" fontId="33" fillId="25" borderId="40" xfId="135" applyNumberFormat="1" applyFont="1" applyFill="1" applyBorder="1" applyAlignment="1">
      <alignment horizontal="center"/>
    </xf>
    <xf numFmtId="2" fontId="38" fillId="5" borderId="14" xfId="94" applyNumberFormat="1" applyFont="1" applyFill="1" applyBorder="1" applyAlignment="1">
      <alignment horizontal="center" vertical="center"/>
    </xf>
    <xf numFmtId="4" fontId="38" fillId="0" borderId="14" xfId="2" applyNumberFormat="1" applyFont="1" applyFill="1" applyBorder="1" applyAlignment="1">
      <alignment horizontal="center" vertical="center"/>
    </xf>
    <xf numFmtId="2" fontId="38" fillId="25" borderId="9" xfId="0" applyNumberFormat="1" applyFont="1" applyFill="1" applyBorder="1" applyAlignment="1">
      <alignment horizontal="center"/>
    </xf>
    <xf numFmtId="0" fontId="84" fillId="0" borderId="0" xfId="94" applyFont="1" applyFill="1" applyBorder="1" applyAlignment="1">
      <alignment vertical="center" wrapText="1"/>
    </xf>
    <xf numFmtId="0" fontId="38" fillId="0" borderId="0" xfId="94" applyFont="1" applyFill="1" applyBorder="1" applyAlignment="1">
      <alignment wrapText="1"/>
    </xf>
    <xf numFmtId="0" fontId="84" fillId="0" borderId="0" xfId="94" applyFont="1" applyFill="1" applyBorder="1" applyAlignment="1">
      <alignment horizontal="left" vertical="center" wrapText="1"/>
    </xf>
    <xf numFmtId="0" fontId="38" fillId="0" borderId="11" xfId="94" applyFont="1" applyFill="1" applyBorder="1" applyAlignment="1">
      <alignment vertical="center"/>
    </xf>
    <xf numFmtId="0" fontId="84" fillId="5" borderId="11" xfId="94" applyFont="1" applyFill="1" applyBorder="1" applyAlignment="1">
      <alignment horizontal="center" vertical="center"/>
    </xf>
    <xf numFmtId="0" fontId="84" fillId="0" borderId="11" xfId="94" applyFont="1" applyFill="1" applyBorder="1"/>
    <xf numFmtId="2" fontId="38" fillId="25" borderId="14" xfId="0" applyNumberFormat="1" applyFont="1" applyFill="1" applyBorder="1" applyAlignment="1">
      <alignment horizontal="center" vertical="center"/>
    </xf>
    <xf numFmtId="165" fontId="33" fillId="0" borderId="0" xfId="0" applyNumberFormat="1" applyFont="1" applyAlignment="1">
      <alignment horizontal="center"/>
    </xf>
    <xf numFmtId="2" fontId="38" fillId="5" borderId="11" xfId="94" applyNumberFormat="1" applyFont="1" applyFill="1" applyBorder="1" applyAlignment="1">
      <alignment horizontal="center" vertical="center"/>
    </xf>
    <xf numFmtId="9" fontId="38" fillId="5" borderId="11" xfId="136" applyFont="1" applyFill="1" applyBorder="1" applyAlignment="1">
      <alignment horizontal="center" vertical="center"/>
    </xf>
    <xf numFmtId="0" fontId="130" fillId="0" borderId="6" xfId="0" applyFont="1" applyBorder="1"/>
    <xf numFmtId="165" fontId="38" fillId="0" borderId="14" xfId="94" applyNumberFormat="1" applyFont="1" applyFill="1" applyBorder="1" applyAlignment="1">
      <alignment horizontal="center" vertical="center"/>
    </xf>
    <xf numFmtId="9" fontId="38" fillId="0" borderId="0" xfId="136" applyFont="1" applyFill="1" applyBorder="1" applyAlignment="1">
      <alignment horizontal="center" vertical="center"/>
    </xf>
    <xf numFmtId="0" fontId="38" fillId="25" borderId="71" xfId="94" applyFont="1" applyFill="1" applyBorder="1" applyAlignment="1">
      <alignment horizontal="center" vertical="center"/>
    </xf>
    <xf numFmtId="4" fontId="38" fillId="25" borderId="57" xfId="136" applyNumberFormat="1" applyFont="1" applyFill="1" applyBorder="1" applyAlignment="1">
      <alignment horizontal="center" vertical="center"/>
    </xf>
    <xf numFmtId="0" fontId="38" fillId="0" borderId="0" xfId="94" applyFont="1" applyFill="1" applyBorder="1" applyAlignment="1">
      <alignment vertical="center" wrapText="1"/>
    </xf>
    <xf numFmtId="0" fontId="39" fillId="17" borderId="11" xfId="0" applyFont="1" applyFill="1" applyBorder="1" applyAlignment="1">
      <alignment horizontal="center"/>
    </xf>
    <xf numFmtId="0" fontId="39" fillId="24" borderId="11" xfId="0" applyFont="1" applyFill="1" applyBorder="1" applyAlignment="1">
      <alignment horizontal="center"/>
    </xf>
    <xf numFmtId="0" fontId="84" fillId="5" borderId="0" xfId="0" applyFont="1" applyFill="1" applyBorder="1" applyAlignment="1">
      <alignment horizontal="right" vertical="center" wrapText="1"/>
    </xf>
    <xf numFmtId="0" fontId="33" fillId="5" borderId="11" xfId="0" applyFont="1" applyFill="1" applyBorder="1" applyAlignment="1">
      <alignment horizontal="center" vertical="center"/>
    </xf>
    <xf numFmtId="0" fontId="38" fillId="5" borderId="0" xfId="0" applyFont="1" applyFill="1" applyBorder="1" applyAlignment="1">
      <alignment wrapText="1"/>
    </xf>
    <xf numFmtId="0" fontId="38" fillId="0" borderId="93" xfId="0" applyFont="1" applyFill="1" applyBorder="1"/>
    <xf numFmtId="0" fontId="45" fillId="17" borderId="11" xfId="0" applyFont="1" applyFill="1" applyBorder="1" applyAlignment="1">
      <alignment horizontal="center" vertical="center"/>
    </xf>
    <xf numFmtId="0" fontId="52" fillId="24" borderId="11" xfId="0" applyFont="1" applyFill="1" applyBorder="1" applyAlignment="1">
      <alignment horizontal="center" vertical="center"/>
    </xf>
    <xf numFmtId="0" fontId="52" fillId="19" borderId="11" xfId="0" applyFont="1" applyFill="1" applyBorder="1" applyAlignment="1">
      <alignment horizontal="center" vertical="center"/>
    </xf>
    <xf numFmtId="182" fontId="33" fillId="25" borderId="11" xfId="0" applyNumberFormat="1" applyFont="1" applyFill="1" applyBorder="1" applyAlignment="1">
      <alignment vertical="center"/>
    </xf>
    <xf numFmtId="182" fontId="33" fillId="25" borderId="11" xfId="0" applyNumberFormat="1" applyFont="1" applyFill="1" applyBorder="1" applyAlignment="1">
      <alignment horizontal="center" vertical="center"/>
    </xf>
    <xf numFmtId="182" fontId="33" fillId="25" borderId="38" xfId="0" applyNumberFormat="1" applyFont="1" applyFill="1" applyBorder="1" applyAlignment="1">
      <alignment horizontal="center" vertical="center"/>
    </xf>
    <xf numFmtId="182" fontId="33" fillId="25" borderId="40" xfId="0" applyNumberFormat="1" applyFont="1" applyFill="1" applyBorder="1" applyAlignment="1">
      <alignment vertical="center"/>
    </xf>
    <xf numFmtId="182" fontId="33" fillId="25" borderId="40" xfId="0" applyNumberFormat="1" applyFont="1" applyFill="1" applyBorder="1" applyAlignment="1">
      <alignment horizontal="center" vertical="center"/>
    </xf>
    <xf numFmtId="182" fontId="33" fillId="25" borderId="41" xfId="0" applyNumberFormat="1" applyFont="1" applyFill="1" applyBorder="1" applyAlignment="1">
      <alignment horizontal="center" vertical="center"/>
    </xf>
    <xf numFmtId="0" fontId="45" fillId="24" borderId="11" xfId="0" applyFont="1" applyFill="1" applyBorder="1" applyAlignment="1">
      <alignment horizontal="center" vertical="center"/>
    </xf>
    <xf numFmtId="0" fontId="39" fillId="24" borderId="11" xfId="0" applyFont="1" applyFill="1" applyBorder="1" applyAlignment="1">
      <alignment horizontal="center" vertical="center"/>
    </xf>
    <xf numFmtId="0" fontId="39" fillId="19" borderId="11" xfId="0" applyFont="1" applyFill="1" applyBorder="1" applyAlignment="1">
      <alignment horizontal="center" vertical="center"/>
    </xf>
    <xf numFmtId="0" fontId="39" fillId="19" borderId="38" xfId="0" applyFont="1" applyFill="1" applyBorder="1" applyAlignment="1">
      <alignment horizontal="center" vertical="center"/>
    </xf>
    <xf numFmtId="0" fontId="0" fillId="25" borderId="11" xfId="0" applyFill="1" applyBorder="1"/>
    <xf numFmtId="4" fontId="33" fillId="25" borderId="11" xfId="0" applyNumberFormat="1" applyFont="1" applyFill="1" applyBorder="1" applyAlignment="1">
      <alignment horizontal="center"/>
    </xf>
    <xf numFmtId="182" fontId="39" fillId="20" borderId="15" xfId="3" applyNumberFormat="1" applyFont="1" applyFill="1" applyBorder="1" applyAlignment="1"/>
    <xf numFmtId="182" fontId="39" fillId="24" borderId="19" xfId="3" applyNumberFormat="1" applyFont="1" applyFill="1" applyBorder="1" applyAlignment="1"/>
    <xf numFmtId="182" fontId="39" fillId="24" borderId="15" xfId="3" applyNumberFormat="1" applyFont="1" applyFill="1" applyBorder="1" applyAlignment="1"/>
    <xf numFmtId="0" fontId="77" fillId="5" borderId="30" xfId="0" applyFont="1" applyFill="1" applyBorder="1" applyAlignment="1">
      <alignment horizontal="left" vertical="center"/>
    </xf>
    <xf numFmtId="0" fontId="33" fillId="5" borderId="0" xfId="0" applyFont="1" applyFill="1" applyBorder="1" applyAlignment="1">
      <alignment vertical="top" wrapText="1"/>
    </xf>
    <xf numFmtId="0" fontId="38" fillId="5" borderId="23" xfId="0" applyFont="1" applyFill="1" applyBorder="1" applyAlignment="1">
      <alignment horizontal="left" vertical="center" wrapText="1"/>
    </xf>
    <xf numFmtId="0" fontId="129" fillId="5" borderId="0" xfId="0" applyFont="1" applyFill="1" applyBorder="1"/>
    <xf numFmtId="0" fontId="0" fillId="5" borderId="4" xfId="0" applyFill="1" applyBorder="1"/>
    <xf numFmtId="0" fontId="0" fillId="5" borderId="7" xfId="0" applyFill="1" applyBorder="1"/>
    <xf numFmtId="0" fontId="0" fillId="5" borderId="6" xfId="0" applyFill="1" applyBorder="1"/>
    <xf numFmtId="0" fontId="33" fillId="5" borderId="6" xfId="0" applyFont="1" applyFill="1" applyBorder="1"/>
    <xf numFmtId="0" fontId="0" fillId="5" borderId="0" xfId="0" applyFill="1" applyBorder="1" applyAlignment="1">
      <alignment horizontal="left"/>
    </xf>
    <xf numFmtId="0" fontId="48" fillId="5" borderId="6" xfId="0" applyFont="1" applyFill="1" applyBorder="1"/>
    <xf numFmtId="0" fontId="84" fillId="5" borderId="6" xfId="0" applyFont="1" applyFill="1" applyBorder="1"/>
    <xf numFmtId="0" fontId="38" fillId="5" borderId="0" xfId="0" applyFont="1" applyFill="1" applyBorder="1" applyAlignment="1">
      <alignment horizontal="right"/>
    </xf>
    <xf numFmtId="0" fontId="58" fillId="5" borderId="6" xfId="0" applyFont="1" applyFill="1" applyBorder="1" applyAlignment="1"/>
    <xf numFmtId="0" fontId="49" fillId="5" borderId="11" xfId="0" applyFont="1" applyFill="1" applyBorder="1" applyAlignment="1">
      <alignment horizontal="center"/>
    </xf>
    <xf numFmtId="0" fontId="49" fillId="5" borderId="64" xfId="0" applyFont="1" applyFill="1" applyBorder="1" applyAlignment="1">
      <alignment horizontal="center"/>
    </xf>
    <xf numFmtId="0" fontId="33" fillId="5" borderId="64" xfId="0" applyFont="1" applyFill="1" applyBorder="1" applyAlignment="1">
      <alignment horizontal="center"/>
    </xf>
    <xf numFmtId="43" fontId="33" fillId="5" borderId="11" xfId="135" applyFont="1" applyFill="1" applyBorder="1"/>
    <xf numFmtId="0" fontId="58" fillId="5" borderId="23" xfId="0" applyFont="1" applyFill="1" applyBorder="1" applyAlignment="1"/>
    <xf numFmtId="0" fontId="58" fillId="5" borderId="0" xfId="0" applyFont="1" applyFill="1" applyBorder="1" applyAlignment="1"/>
    <xf numFmtId="0" fontId="0" fillId="5" borderId="0" xfId="0" applyFill="1" applyAlignment="1"/>
    <xf numFmtId="0" fontId="33" fillId="5" borderId="0" xfId="0" applyFont="1" applyFill="1" applyBorder="1" applyAlignment="1">
      <alignment horizontal="right"/>
    </xf>
    <xf numFmtId="0" fontId="84" fillId="5" borderId="0" xfId="0" applyFont="1" applyFill="1" applyBorder="1" applyAlignment="1">
      <alignment horizontal="right"/>
    </xf>
    <xf numFmtId="43" fontId="79" fillId="5" borderId="0" xfId="135" applyFont="1" applyFill="1" applyBorder="1"/>
    <xf numFmtId="0" fontId="75" fillId="5" borderId="11" xfId="0" applyFont="1" applyFill="1" applyBorder="1" applyAlignment="1">
      <alignment horizontal="center"/>
    </xf>
    <xf numFmtId="0" fontId="0" fillId="5" borderId="11" xfId="0" applyFill="1" applyBorder="1" applyAlignment="1">
      <alignment horizontal="center"/>
    </xf>
    <xf numFmtId="0" fontId="33" fillId="25" borderId="11" xfId="0" applyFont="1" applyFill="1" applyBorder="1"/>
    <xf numFmtId="43" fontId="0" fillId="5" borderId="11" xfId="135" applyFont="1" applyFill="1" applyBorder="1"/>
    <xf numFmtId="0" fontId="40" fillId="5" borderId="0" xfId="0" applyFont="1" applyFill="1" applyBorder="1" applyAlignment="1">
      <alignment vertical="center"/>
    </xf>
    <xf numFmtId="0" fontId="0" fillId="5" borderId="9" xfId="0" applyFill="1" applyBorder="1"/>
    <xf numFmtId="0" fontId="0" fillId="17" borderId="4" xfId="0" applyFill="1" applyBorder="1"/>
    <xf numFmtId="0" fontId="0" fillId="17" borderId="0" xfId="0" applyFill="1" applyBorder="1"/>
    <xf numFmtId="43" fontId="45" fillId="17" borderId="0" xfId="135" applyFont="1" applyFill="1" applyBorder="1"/>
    <xf numFmtId="0" fontId="39" fillId="17" borderId="0" xfId="0" applyFont="1" applyFill="1" applyBorder="1" applyAlignment="1"/>
    <xf numFmtId="0" fontId="39" fillId="17" borderId="7" xfId="0" applyFont="1" applyFill="1" applyBorder="1" applyAlignment="1"/>
    <xf numFmtId="44" fontId="39" fillId="17" borderId="10" xfId="3" applyFont="1" applyFill="1" applyBorder="1" applyAlignment="1"/>
    <xf numFmtId="0" fontId="48" fillId="5" borderId="6" xfId="0" applyFont="1" applyFill="1" applyBorder="1" applyAlignment="1">
      <alignment vertical="center"/>
    </xf>
    <xf numFmtId="0" fontId="49" fillId="5" borderId="6" xfId="0" applyFont="1" applyFill="1" applyBorder="1"/>
    <xf numFmtId="4" fontId="38" fillId="0" borderId="0" xfId="0" applyNumberFormat="1" applyFont="1" applyFill="1" applyBorder="1" applyAlignment="1">
      <alignment horizontal="center" vertical="center"/>
    </xf>
    <xf numFmtId="4" fontId="38" fillId="5" borderId="0" xfId="0" applyNumberFormat="1" applyFont="1" applyFill="1" applyBorder="1" applyAlignment="1">
      <alignment horizontal="center" vertical="center"/>
    </xf>
    <xf numFmtId="182" fontId="45" fillId="17" borderId="10" xfId="0" applyNumberFormat="1" applyFont="1" applyFill="1" applyBorder="1" applyAlignment="1"/>
    <xf numFmtId="182" fontId="45" fillId="20" borderId="10" xfId="0" applyNumberFormat="1" applyFont="1" applyFill="1" applyBorder="1" applyAlignment="1"/>
    <xf numFmtId="0" fontId="33" fillId="25" borderId="94" xfId="0" applyFont="1" applyFill="1" applyBorder="1"/>
    <xf numFmtId="0" fontId="38" fillId="25" borderId="94" xfId="0" applyFont="1" applyFill="1" applyBorder="1" applyAlignment="1">
      <alignment horizontal="center"/>
    </xf>
    <xf numFmtId="0" fontId="48" fillId="5" borderId="64" xfId="0" applyFont="1" applyFill="1" applyBorder="1" applyAlignment="1">
      <alignment horizontal="center"/>
    </xf>
    <xf numFmtId="49" fontId="48" fillId="5" borderId="64" xfId="0" applyNumberFormat="1" applyFont="1" applyFill="1" applyBorder="1" applyAlignment="1">
      <alignment horizontal="center"/>
    </xf>
    <xf numFmtId="43" fontId="38" fillId="25" borderId="94" xfId="135" applyFont="1" applyFill="1" applyBorder="1"/>
    <xf numFmtId="43" fontId="133" fillId="25" borderId="14" xfId="135" applyFont="1" applyFill="1" applyBorder="1"/>
    <xf numFmtId="43" fontId="33" fillId="5" borderId="0" xfId="135" applyFont="1" applyFill="1" applyBorder="1"/>
    <xf numFmtId="0" fontId="58" fillId="5" borderId="0" xfId="0" applyFont="1" applyFill="1" applyBorder="1"/>
    <xf numFmtId="0" fontId="58" fillId="5" borderId="0" xfId="0" applyFont="1" applyFill="1" applyBorder="1" applyAlignment="1">
      <alignment horizontal="right"/>
    </xf>
    <xf numFmtId="43" fontId="134" fillId="5" borderId="0" xfId="135" applyFont="1" applyFill="1" applyBorder="1"/>
    <xf numFmtId="0" fontId="65" fillId="5" borderId="6" xfId="0" applyFont="1" applyFill="1" applyBorder="1" applyAlignment="1">
      <alignment horizontal="center"/>
    </xf>
    <xf numFmtId="0" fontId="38" fillId="5" borderId="6" xfId="0" applyFont="1" applyFill="1" applyBorder="1" applyAlignment="1">
      <alignment horizontal="center"/>
    </xf>
    <xf numFmtId="0" fontId="33" fillId="5" borderId="95" xfId="0" applyFont="1" applyFill="1" applyBorder="1" applyAlignment="1">
      <alignment horizontal="center"/>
    </xf>
    <xf numFmtId="43" fontId="33" fillId="5" borderId="38" xfId="135" applyFont="1" applyFill="1" applyBorder="1"/>
    <xf numFmtId="0" fontId="0" fillId="5" borderId="94" xfId="0" applyFill="1" applyBorder="1"/>
    <xf numFmtId="0" fontId="33" fillId="25" borderId="94" xfId="0" applyFont="1" applyFill="1" applyBorder="1" applyAlignment="1">
      <alignment horizontal="center"/>
    </xf>
    <xf numFmtId="0" fontId="33" fillId="5" borderId="6" xfId="0" applyFont="1" applyFill="1" applyBorder="1" applyAlignment="1"/>
    <xf numFmtId="0" fontId="33" fillId="5" borderId="6" xfId="0" applyFont="1" applyFill="1" applyBorder="1" applyAlignment="1">
      <alignment horizontal="right"/>
    </xf>
    <xf numFmtId="0" fontId="45" fillId="5" borderId="6" xfId="0" applyFont="1" applyFill="1" applyBorder="1"/>
    <xf numFmtId="0" fontId="33" fillId="5" borderId="73" xfId="0" applyFont="1" applyFill="1" applyBorder="1" applyAlignment="1">
      <alignment horizontal="center"/>
    </xf>
    <xf numFmtId="0" fontId="0" fillId="5" borderId="11" xfId="0" applyFont="1" applyFill="1" applyBorder="1" applyAlignment="1">
      <alignment horizontal="center"/>
    </xf>
    <xf numFmtId="186" fontId="33" fillId="25" borderId="9" xfId="3" applyNumberFormat="1" applyFont="1" applyFill="1" applyBorder="1"/>
    <xf numFmtId="43" fontId="0" fillId="5" borderId="57" xfId="135" applyFont="1" applyFill="1" applyBorder="1"/>
    <xf numFmtId="43" fontId="38" fillId="5" borderId="94" xfId="135" applyFont="1" applyFill="1" applyBorder="1"/>
    <xf numFmtId="43" fontId="38" fillId="5" borderId="14" xfId="135" applyFont="1" applyFill="1" applyBorder="1"/>
    <xf numFmtId="0" fontId="38" fillId="5" borderId="6" xfId="0" applyFont="1" applyFill="1" applyBorder="1" applyAlignment="1">
      <alignment horizontal="left" vertical="center"/>
    </xf>
    <xf numFmtId="0" fontId="84" fillId="5" borderId="0" xfId="0" applyFont="1" applyFill="1" applyBorder="1" applyAlignment="1">
      <alignment horizontal="right" vertical="center" wrapText="1"/>
    </xf>
    <xf numFmtId="0" fontId="33" fillId="0" borderId="0" xfId="0" applyFont="1" applyBorder="1" applyAlignment="1">
      <alignment wrapText="1"/>
    </xf>
    <xf numFmtId="0" fontId="38" fillId="0" borderId="12" xfId="94" applyFont="1" applyFill="1" applyBorder="1" applyAlignment="1">
      <alignment horizontal="right" vertical="center" wrapText="1"/>
    </xf>
    <xf numFmtId="0" fontId="38" fillId="0" borderId="52" xfId="94" applyFont="1" applyFill="1" applyBorder="1" applyAlignment="1">
      <alignment horizontal="right" vertical="center" wrapText="1"/>
    </xf>
    <xf numFmtId="0" fontId="0" fillId="5" borderId="0" xfId="0" applyFill="1" applyBorder="1"/>
    <xf numFmtId="0" fontId="0" fillId="5" borderId="0" xfId="0" applyFill="1" applyBorder="1" applyAlignment="1">
      <alignment horizontal="center"/>
    </xf>
    <xf numFmtId="0" fontId="0" fillId="0" borderId="0" xfId="0" applyFill="1" applyBorder="1"/>
    <xf numFmtId="0" fontId="33" fillId="5" borderId="0" xfId="0" applyFont="1" applyFill="1" applyBorder="1" applyAlignment="1">
      <alignment horizontal="center"/>
    </xf>
    <xf numFmtId="0" fontId="33" fillId="25" borderId="14" xfId="0" applyFont="1" applyFill="1" applyBorder="1" applyAlignment="1">
      <alignment horizontal="center"/>
    </xf>
    <xf numFmtId="0" fontId="33" fillId="25" borderId="18" xfId="0" applyFont="1" applyFill="1" applyBorder="1" applyAlignment="1">
      <alignment horizontal="center"/>
    </xf>
    <xf numFmtId="0" fontId="40" fillId="5" borderId="0" xfId="0" applyFont="1" applyFill="1" applyBorder="1" applyAlignment="1">
      <alignment horizontal="center" vertical="center"/>
    </xf>
    <xf numFmtId="0" fontId="40" fillId="5" borderId="23" xfId="0" applyFont="1" applyFill="1" applyBorder="1" applyAlignment="1">
      <alignment horizontal="center" vertical="center"/>
    </xf>
    <xf numFmtId="0" fontId="33" fillId="0" borderId="14" xfId="0" applyFont="1" applyBorder="1" applyAlignment="1">
      <alignment horizontal="center"/>
    </xf>
    <xf numFmtId="180" fontId="33" fillId="5" borderId="94" xfId="0" applyNumberFormat="1" applyFont="1" applyFill="1" applyBorder="1" applyAlignment="1">
      <alignment horizontal="center"/>
    </xf>
    <xf numFmtId="0" fontId="0" fillId="5" borderId="96" xfId="0" applyFill="1" applyBorder="1"/>
    <xf numFmtId="43" fontId="33" fillId="0" borderId="57" xfId="135" applyFont="1" applyFill="1" applyBorder="1"/>
    <xf numFmtId="0" fontId="0" fillId="0" borderId="7" xfId="0" applyFill="1" applyBorder="1"/>
    <xf numFmtId="0" fontId="0" fillId="0" borderId="0" xfId="0" applyFill="1" applyAlignment="1"/>
    <xf numFmtId="43" fontId="79" fillId="5" borderId="9" xfId="135" applyFont="1" applyFill="1" applyBorder="1"/>
    <xf numFmtId="49" fontId="48" fillId="5" borderId="11" xfId="0" applyNumberFormat="1" applyFont="1" applyFill="1" applyBorder="1" applyAlignment="1">
      <alignment horizontal="center"/>
    </xf>
    <xf numFmtId="0" fontId="33" fillId="0" borderId="57" xfId="0" applyFont="1" applyFill="1" applyBorder="1"/>
    <xf numFmtId="0" fontId="45" fillId="28" borderId="3" xfId="0" applyFont="1" applyFill="1" applyBorder="1"/>
    <xf numFmtId="0" fontId="45" fillId="28" borderId="4" xfId="0" applyFont="1" applyFill="1" applyBorder="1"/>
    <xf numFmtId="0" fontId="0" fillId="28" borderId="4" xfId="0" applyFill="1" applyBorder="1"/>
    <xf numFmtId="0" fontId="45" fillId="28" borderId="5" xfId="0" applyFont="1" applyFill="1" applyBorder="1"/>
    <xf numFmtId="0" fontId="45" fillId="28" borderId="6" xfId="0" applyFont="1" applyFill="1" applyBorder="1"/>
    <xf numFmtId="0" fontId="39" fillId="28" borderId="0" xfId="0" applyFont="1" applyFill="1" applyBorder="1"/>
    <xf numFmtId="43" fontId="45" fillId="28" borderId="0" xfId="135" applyFont="1" applyFill="1" applyBorder="1"/>
    <xf numFmtId="0" fontId="0" fillId="28" borderId="7" xfId="0" applyFill="1" applyBorder="1"/>
    <xf numFmtId="0" fontId="45" fillId="28" borderId="0" xfId="0" applyFont="1" applyFill="1" applyBorder="1"/>
    <xf numFmtId="0" fontId="39" fillId="28" borderId="8" xfId="0" applyFont="1" applyFill="1" applyBorder="1"/>
    <xf numFmtId="181" fontId="39" fillId="28" borderId="10" xfId="0" applyNumberFormat="1" applyFont="1" applyFill="1" applyBorder="1" applyAlignment="1"/>
    <xf numFmtId="2" fontId="39" fillId="17" borderId="9" xfId="3" applyNumberFormat="1" applyFont="1" applyFill="1" applyBorder="1" applyAlignment="1"/>
    <xf numFmtId="181" fontId="39" fillId="28" borderId="9" xfId="0" applyNumberFormat="1" applyFont="1" applyFill="1" applyBorder="1" applyAlignment="1"/>
    <xf numFmtId="0" fontId="40" fillId="5" borderId="9" xfId="0" applyFont="1" applyFill="1" applyBorder="1" applyAlignment="1">
      <alignment horizontal="center" vertical="center"/>
    </xf>
    <xf numFmtId="0" fontId="40" fillId="5" borderId="30" xfId="0" applyFont="1" applyFill="1" applyBorder="1" applyAlignment="1">
      <alignment horizontal="center" vertical="center"/>
    </xf>
    <xf numFmtId="0" fontId="33" fillId="5" borderId="7" xfId="0" applyFont="1" applyFill="1" applyBorder="1" applyAlignment="1"/>
    <xf numFmtId="4" fontId="38" fillId="0" borderId="14" xfId="0" applyNumberFormat="1" applyFont="1" applyFill="1" applyBorder="1" applyAlignment="1">
      <alignment horizontal="center" vertical="center"/>
    </xf>
    <xf numFmtId="183" fontId="38" fillId="25" borderId="94" xfId="0" applyNumberFormat="1" applyFont="1" applyFill="1" applyBorder="1" applyAlignment="1">
      <alignment horizontal="center" vertical="center"/>
    </xf>
    <xf numFmtId="0" fontId="33" fillId="5" borderId="6" xfId="0" applyFont="1" applyFill="1" applyBorder="1" applyAlignment="1">
      <alignment horizontal="center"/>
    </xf>
    <xf numFmtId="0" fontId="49" fillId="5" borderId="0" xfId="0" applyFont="1" applyFill="1" applyBorder="1"/>
    <xf numFmtId="0" fontId="48" fillId="5" borderId="0" xfId="0" applyFont="1" applyFill="1" applyBorder="1"/>
    <xf numFmtId="175" fontId="38" fillId="25" borderId="14" xfId="0" applyNumberFormat="1" applyFont="1" applyFill="1" applyBorder="1" applyAlignment="1">
      <alignment horizontal="center" vertical="center"/>
    </xf>
    <xf numFmtId="180" fontId="33" fillId="5" borderId="14" xfId="0" applyNumberFormat="1" applyFont="1" applyFill="1" applyBorder="1" applyAlignment="1">
      <alignment horizontal="center"/>
    </xf>
    <xf numFmtId="0" fontId="33" fillId="25" borderId="98" xfId="0" applyFont="1" applyFill="1" applyBorder="1" applyAlignment="1">
      <alignment horizontal="center"/>
    </xf>
    <xf numFmtId="0" fontId="33" fillId="5" borderId="23" xfId="0" applyFont="1" applyFill="1" applyBorder="1"/>
    <xf numFmtId="0" fontId="33" fillId="5" borderId="30" xfId="0" applyFont="1" applyFill="1" applyBorder="1"/>
    <xf numFmtId="0" fontId="33" fillId="25" borderId="18" xfId="0" applyFont="1" applyFill="1" applyBorder="1"/>
    <xf numFmtId="0" fontId="33" fillId="0" borderId="23" xfId="0" applyFont="1" applyFill="1" applyBorder="1"/>
    <xf numFmtId="0" fontId="33" fillId="5" borderId="0" xfId="0" applyFont="1" applyFill="1" applyBorder="1" applyAlignment="1">
      <alignment horizontal="left"/>
    </xf>
    <xf numFmtId="0" fontId="33" fillId="5" borderId="7" xfId="0" applyFont="1" applyFill="1" applyBorder="1"/>
    <xf numFmtId="43" fontId="33" fillId="0" borderId="0" xfId="135" applyFont="1" applyFill="1" applyBorder="1"/>
    <xf numFmtId="0" fontId="33" fillId="0" borderId="7" xfId="0" applyFont="1" applyFill="1" applyBorder="1"/>
    <xf numFmtId="0" fontId="33" fillId="25" borderId="98" xfId="0" applyFont="1" applyFill="1" applyBorder="1"/>
    <xf numFmtId="0" fontId="33" fillId="5" borderId="23" xfId="0" applyFont="1" applyFill="1" applyBorder="1" applyAlignment="1"/>
    <xf numFmtId="43" fontId="58" fillId="5" borderId="0" xfId="135" applyFont="1" applyFill="1" applyBorder="1"/>
    <xf numFmtId="0" fontId="33" fillId="0" borderId="30" xfId="0" applyFont="1" applyFill="1" applyBorder="1"/>
    <xf numFmtId="43" fontId="33" fillId="0" borderId="94" xfId="135" applyFont="1" applyFill="1" applyBorder="1"/>
    <xf numFmtId="0" fontId="33" fillId="0" borderId="94" xfId="0" applyFont="1" applyFill="1" applyBorder="1"/>
    <xf numFmtId="0" fontId="33" fillId="5" borderId="30" xfId="0" applyFont="1" applyFill="1" applyBorder="1" applyAlignment="1"/>
    <xf numFmtId="0" fontId="0" fillId="5" borderId="28" xfId="0" applyFill="1" applyBorder="1"/>
    <xf numFmtId="0" fontId="0" fillId="5" borderId="24" xfId="0" applyFill="1" applyBorder="1"/>
    <xf numFmtId="186" fontId="33" fillId="0" borderId="0" xfId="3" applyNumberFormat="1" applyFont="1" applyFill="1" applyBorder="1"/>
    <xf numFmtId="0" fontId="33" fillId="5" borderId="8" xfId="0" applyFont="1" applyFill="1" applyBorder="1"/>
    <xf numFmtId="0" fontId="84" fillId="5" borderId="9" xfId="0" applyFont="1" applyFill="1" applyBorder="1" applyAlignment="1">
      <alignment horizontal="right"/>
    </xf>
    <xf numFmtId="0" fontId="33" fillId="25" borderId="71" xfId="0" applyFont="1" applyFill="1" applyBorder="1" applyAlignment="1">
      <alignment horizontal="center"/>
    </xf>
    <xf numFmtId="0" fontId="33" fillId="25" borderId="80" xfId="0" applyFont="1" applyFill="1" applyBorder="1" applyAlignment="1">
      <alignment horizontal="center"/>
    </xf>
    <xf numFmtId="0" fontId="49" fillId="0" borderId="6" xfId="0" applyFont="1" applyFill="1" applyBorder="1"/>
    <xf numFmtId="0" fontId="39" fillId="28" borderId="5" xfId="0" applyFont="1" applyFill="1" applyBorder="1"/>
    <xf numFmtId="0" fontId="45" fillId="28" borderId="8" xfId="0" applyFont="1" applyFill="1" applyBorder="1"/>
    <xf numFmtId="182" fontId="39" fillId="28" borderId="10" xfId="0" applyNumberFormat="1" applyFont="1" applyFill="1" applyBorder="1" applyAlignment="1"/>
    <xf numFmtId="0" fontId="0" fillId="0" borderId="14" xfId="0" applyBorder="1" applyAlignment="1">
      <alignment horizontal="center"/>
    </xf>
    <xf numFmtId="0" fontId="33" fillId="0" borderId="94" xfId="0" applyFont="1" applyBorder="1"/>
    <xf numFmtId="4" fontId="33" fillId="0" borderId="94" xfId="0" applyNumberFormat="1" applyFont="1" applyBorder="1" applyAlignment="1">
      <alignment horizontal="center"/>
    </xf>
    <xf numFmtId="180" fontId="33" fillId="0" borderId="14" xfId="0" applyNumberFormat="1" applyFont="1" applyBorder="1" applyAlignment="1">
      <alignment horizontal="center"/>
    </xf>
    <xf numFmtId="0" fontId="33" fillId="0" borderId="57" xfId="0" applyFont="1" applyBorder="1"/>
    <xf numFmtId="0" fontId="33" fillId="0" borderId="94" xfId="0" applyFont="1" applyBorder="1" applyAlignment="1"/>
    <xf numFmtId="0" fontId="136" fillId="0" borderId="0" xfId="0" applyFont="1" applyFill="1" applyBorder="1" applyAlignment="1"/>
    <xf numFmtId="0" fontId="34" fillId="0" borderId="14" xfId="0" applyFont="1" applyBorder="1" applyAlignment="1">
      <alignment horizontal="center" wrapText="1"/>
    </xf>
    <xf numFmtId="0" fontId="34" fillId="0" borderId="14" xfId="0" applyFont="1" applyBorder="1" applyAlignment="1">
      <alignment horizontal="center"/>
    </xf>
    <xf numFmtId="0" fontId="34" fillId="0" borderId="94" xfId="0" applyFont="1" applyBorder="1" applyAlignment="1">
      <alignment horizontal="center"/>
    </xf>
    <xf numFmtId="0" fontId="31" fillId="0" borderId="0" xfId="0" applyFont="1" applyBorder="1" applyAlignment="1">
      <alignment horizontal="left" wrapText="1"/>
    </xf>
    <xf numFmtId="2" fontId="0" fillId="0" borderId="0" xfId="0" applyNumberFormat="1" applyBorder="1" applyAlignment="1">
      <alignment horizontal="center"/>
    </xf>
    <xf numFmtId="0" fontId="0" fillId="0" borderId="94" xfId="0" applyBorder="1" applyAlignment="1">
      <alignment horizontal="left"/>
    </xf>
    <xf numFmtId="2" fontId="0" fillId="0" borderId="94" xfId="0" applyNumberFormat="1" applyBorder="1" applyAlignment="1">
      <alignment horizontal="center"/>
    </xf>
    <xf numFmtId="0" fontId="136" fillId="0" borderId="14" xfId="0" applyFont="1" applyFill="1" applyBorder="1" applyAlignment="1"/>
    <xf numFmtId="0" fontId="138" fillId="0" borderId="6" xfId="138" applyFont="1" applyFill="1" applyBorder="1"/>
    <xf numFmtId="182" fontId="39" fillId="24" borderId="10" xfId="0" applyNumberFormat="1" applyFont="1" applyFill="1" applyBorder="1" applyAlignment="1"/>
    <xf numFmtId="4" fontId="39" fillId="24" borderId="9" xfId="0" applyNumberFormat="1" applyFont="1" applyFill="1" applyBorder="1" applyAlignment="1">
      <alignment horizontal="right"/>
    </xf>
    <xf numFmtId="0" fontId="39" fillId="20" borderId="11" xfId="0" applyFont="1" applyFill="1" applyBorder="1" applyAlignment="1">
      <alignment horizontal="center"/>
    </xf>
    <xf numFmtId="4" fontId="38" fillId="25" borderId="11" xfId="0" applyNumberFormat="1" applyFont="1" applyFill="1" applyBorder="1" applyAlignment="1">
      <alignment horizontal="center"/>
    </xf>
    <xf numFmtId="4" fontId="33" fillId="25" borderId="38" xfId="0" applyNumberFormat="1" applyFont="1" applyFill="1" applyBorder="1" applyAlignment="1">
      <alignment horizontal="center"/>
    </xf>
    <xf numFmtId="4" fontId="38" fillId="25" borderId="40" xfId="0" applyNumberFormat="1" applyFont="1" applyFill="1" applyBorder="1" applyAlignment="1">
      <alignment horizontal="center"/>
    </xf>
    <xf numFmtId="4" fontId="33" fillId="25" borderId="40" xfId="0" applyNumberFormat="1" applyFont="1" applyFill="1" applyBorder="1" applyAlignment="1">
      <alignment horizontal="center"/>
    </xf>
    <xf numFmtId="4" fontId="33" fillId="25" borderId="41" xfId="0" applyNumberFormat="1" applyFont="1" applyFill="1" applyBorder="1" applyAlignment="1">
      <alignment horizontal="center"/>
    </xf>
    <xf numFmtId="0" fontId="34" fillId="17" borderId="14" xfId="0" applyFont="1" applyFill="1" applyBorder="1" applyAlignment="1">
      <alignment horizontal="center"/>
    </xf>
    <xf numFmtId="0" fontId="52" fillId="17" borderId="14" xfId="0" applyFont="1" applyFill="1" applyBorder="1" applyAlignment="1">
      <alignment horizontal="center"/>
    </xf>
    <xf numFmtId="0" fontId="52" fillId="24" borderId="14" xfId="0" applyFont="1" applyFill="1" applyBorder="1" applyAlignment="1">
      <alignment horizontal="center"/>
    </xf>
    <xf numFmtId="0" fontId="52" fillId="20" borderId="14" xfId="0" applyFont="1" applyFill="1" applyBorder="1" applyAlignment="1">
      <alignment horizontal="center"/>
    </xf>
    <xf numFmtId="0" fontId="52" fillId="20" borderId="18" xfId="0" applyFont="1" applyFill="1" applyBorder="1" applyAlignment="1">
      <alignment horizontal="center"/>
    </xf>
    <xf numFmtId="0" fontId="95" fillId="0" borderId="18" xfId="0" applyFont="1" applyFill="1" applyBorder="1" applyAlignment="1">
      <alignment horizontal="center" wrapText="1"/>
    </xf>
    <xf numFmtId="0" fontId="39" fillId="20" borderId="38" xfId="0" applyFont="1" applyFill="1" applyBorder="1" applyAlignment="1">
      <alignment horizontal="center"/>
    </xf>
    <xf numFmtId="0" fontId="119" fillId="0" borderId="6" xfId="0" applyFont="1" applyBorder="1" applyAlignment="1">
      <alignment horizontal="center"/>
    </xf>
    <xf numFmtId="0" fontId="41" fillId="18" borderId="20" xfId="0" applyFont="1" applyFill="1" applyBorder="1" applyAlignment="1">
      <alignment horizontal="left" vertical="center"/>
    </xf>
    <xf numFmtId="0" fontId="33" fillId="0" borderId="12" xfId="0" applyFont="1" applyBorder="1" applyAlignment="1">
      <alignment horizontal="left" vertical="center" wrapText="1"/>
    </xf>
    <xf numFmtId="0" fontId="33" fillId="0" borderId="12" xfId="0" applyFont="1" applyBorder="1" applyAlignment="1">
      <alignment wrapText="1"/>
    </xf>
    <xf numFmtId="0" fontId="33" fillId="0" borderId="12" xfId="0" applyFont="1" applyBorder="1" applyAlignment="1">
      <alignment vertical="top" wrapText="1"/>
    </xf>
    <xf numFmtId="0" fontId="33" fillId="5" borderId="11" xfId="0" applyFont="1" applyFill="1" applyBorder="1" applyAlignment="1">
      <alignment horizontal="left" vertical="center"/>
    </xf>
    <xf numFmtId="0" fontId="33" fillId="5" borderId="11" xfId="0" applyFont="1" applyFill="1" applyBorder="1" applyAlignment="1">
      <alignment horizontal="left" vertical="top" wrapText="1"/>
    </xf>
    <xf numFmtId="0" fontId="33" fillId="0" borderId="11" xfId="0" applyFont="1" applyFill="1" applyBorder="1" applyAlignment="1">
      <alignment horizontal="left" vertical="center"/>
    </xf>
    <xf numFmtId="44" fontId="39" fillId="20" borderId="10" xfId="3" applyFont="1" applyFill="1" applyBorder="1" applyAlignment="1"/>
    <xf numFmtId="165" fontId="33" fillId="0" borderId="0" xfId="0" applyNumberFormat="1" applyFont="1"/>
    <xf numFmtId="0" fontId="33" fillId="0" borderId="56" xfId="0" applyFont="1" applyBorder="1"/>
    <xf numFmtId="165" fontId="33" fillId="0" borderId="57" xfId="0" applyNumberFormat="1" applyFont="1" applyBorder="1"/>
    <xf numFmtId="0" fontId="33" fillId="0" borderId="58" xfId="0" applyFont="1" applyBorder="1"/>
    <xf numFmtId="0" fontId="33" fillId="0" borderId="59" xfId="0" applyFont="1" applyBorder="1"/>
    <xf numFmtId="165" fontId="33" fillId="0" borderId="0" xfId="0" applyNumberFormat="1" applyFont="1" applyBorder="1"/>
    <xf numFmtId="0" fontId="33" fillId="0" borderId="60" xfId="0" applyFont="1" applyBorder="1"/>
    <xf numFmtId="0" fontId="33" fillId="0" borderId="61" xfId="0" applyFont="1" applyBorder="1"/>
    <xf numFmtId="165" fontId="33" fillId="0" borderId="62" xfId="0" applyNumberFormat="1" applyFont="1" applyBorder="1"/>
    <xf numFmtId="0" fontId="33" fillId="0" borderId="63" xfId="0" applyFont="1" applyBorder="1"/>
    <xf numFmtId="9" fontId="33" fillId="0" borderId="0" xfId="0" applyNumberFormat="1" applyFont="1" applyBorder="1"/>
    <xf numFmtId="9" fontId="33" fillId="0" borderId="60" xfId="0" applyNumberFormat="1" applyFont="1" applyBorder="1"/>
    <xf numFmtId="0" fontId="33" fillId="0" borderId="64" xfId="0" applyFont="1" applyBorder="1"/>
    <xf numFmtId="0" fontId="41" fillId="0" borderId="0" xfId="0" applyFont="1" applyBorder="1"/>
    <xf numFmtId="165" fontId="33" fillId="0" borderId="56" xfId="0" applyNumberFormat="1" applyFont="1" applyBorder="1"/>
    <xf numFmtId="165" fontId="33" fillId="0" borderId="58" xfId="0" applyNumberFormat="1" applyFont="1" applyBorder="1"/>
    <xf numFmtId="0" fontId="33" fillId="0" borderId="65" xfId="0" applyFont="1" applyBorder="1"/>
    <xf numFmtId="0" fontId="41" fillId="0" borderId="0" xfId="0" applyFont="1" applyFill="1" applyBorder="1"/>
    <xf numFmtId="165" fontId="33" fillId="0" borderId="61" xfId="0" applyNumberFormat="1" applyFont="1" applyBorder="1"/>
    <xf numFmtId="0" fontId="38" fillId="0" borderId="64" xfId="0" applyFont="1" applyBorder="1"/>
    <xf numFmtId="9" fontId="33" fillId="0" borderId="63" xfId="0" applyNumberFormat="1" applyFont="1" applyBorder="1"/>
    <xf numFmtId="0" fontId="38" fillId="0" borderId="65" xfId="0" applyFont="1" applyBorder="1"/>
    <xf numFmtId="165" fontId="33" fillId="0" borderId="57" xfId="0" applyNumberFormat="1" applyFont="1" applyBorder="1" applyAlignment="1">
      <alignment horizontal="right"/>
    </xf>
    <xf numFmtId="0" fontId="38" fillId="0" borderId="26" xfId="0" applyFont="1" applyBorder="1"/>
    <xf numFmtId="165" fontId="33" fillId="0" borderId="59" xfId="0" applyNumberFormat="1" applyFont="1" applyBorder="1"/>
    <xf numFmtId="0" fontId="33" fillId="0" borderId="26" xfId="0" applyFont="1" applyBorder="1"/>
    <xf numFmtId="165" fontId="33" fillId="0" borderId="14" xfId="0" applyNumberFormat="1" applyFont="1" applyBorder="1"/>
    <xf numFmtId="177" fontId="33" fillId="5" borderId="14" xfId="136" applyNumberFormat="1" applyFont="1" applyFill="1" applyBorder="1" applyAlignment="1">
      <alignment horizontal="center" vertical="center"/>
    </xf>
    <xf numFmtId="0" fontId="33" fillId="5" borderId="52" xfId="0" applyNumberFormat="1" applyFont="1" applyFill="1" applyBorder="1" applyAlignment="1">
      <alignment wrapText="1"/>
    </xf>
    <xf numFmtId="177" fontId="33" fillId="5" borderId="0" xfId="136" applyNumberFormat="1" applyFont="1" applyFill="1" applyBorder="1" applyAlignment="1">
      <alignment horizontal="center" vertical="center"/>
    </xf>
    <xf numFmtId="0" fontId="33" fillId="5" borderId="0" xfId="0" applyNumberFormat="1" applyFont="1" applyFill="1" applyBorder="1" applyAlignment="1">
      <alignment wrapText="1"/>
    </xf>
    <xf numFmtId="0" fontId="33" fillId="0" borderId="56" xfId="0" applyFont="1" applyBorder="1" applyAlignment="1"/>
    <xf numFmtId="0" fontId="33" fillId="0" borderId="57" xfId="0" applyFont="1" applyBorder="1" applyAlignment="1"/>
    <xf numFmtId="0" fontId="33" fillId="0" borderId="58" xfId="0" applyFont="1" applyBorder="1" applyAlignment="1"/>
    <xf numFmtId="0" fontId="33" fillId="0" borderId="59" xfId="0" applyFont="1" applyBorder="1" applyAlignment="1"/>
    <xf numFmtId="0" fontId="33" fillId="0" borderId="60" xfId="0" applyFont="1" applyBorder="1" applyAlignment="1"/>
    <xf numFmtId="0" fontId="33" fillId="0" borderId="59" xfId="0" applyFont="1" applyBorder="1" applyAlignment="1">
      <alignment horizontal="center" vertical="center"/>
    </xf>
    <xf numFmtId="2" fontId="33" fillId="0" borderId="0" xfId="0" applyNumberFormat="1" applyFont="1" applyBorder="1" applyAlignment="1">
      <alignment horizontal="center" vertical="center"/>
    </xf>
    <xf numFmtId="0" fontId="33" fillId="0" borderId="61" xfId="0" applyFont="1" applyBorder="1" applyAlignment="1">
      <alignment horizontal="center" vertical="center"/>
    </xf>
    <xf numFmtId="2" fontId="33" fillId="0" borderId="62" xfId="0" applyNumberFormat="1" applyFont="1" applyBorder="1" applyAlignment="1">
      <alignment horizontal="center" vertical="center"/>
    </xf>
    <xf numFmtId="165" fontId="33" fillId="0" borderId="62" xfId="0" applyNumberFormat="1" applyFont="1" applyBorder="1" applyAlignment="1">
      <alignment horizontal="center" vertical="center"/>
    </xf>
    <xf numFmtId="177" fontId="33" fillId="5" borderId="0" xfId="136" applyNumberFormat="1" applyFont="1" applyFill="1" applyBorder="1"/>
    <xf numFmtId="165" fontId="33" fillId="17" borderId="0" xfId="0" applyNumberFormat="1" applyFont="1" applyFill="1" applyAlignment="1">
      <alignment horizontal="right"/>
    </xf>
    <xf numFmtId="0" fontId="38" fillId="0" borderId="65" xfId="94" applyFont="1" applyBorder="1" applyAlignment="1">
      <alignment horizontal="left"/>
    </xf>
    <xf numFmtId="165" fontId="38" fillId="0" borderId="0" xfId="94" applyNumberFormat="1" applyFont="1" applyBorder="1" applyAlignment="1">
      <alignment horizontal="left"/>
    </xf>
    <xf numFmtId="0" fontId="38" fillId="0" borderId="65" xfId="94" applyFont="1" applyFill="1" applyBorder="1" applyAlignment="1">
      <alignment horizontal="left"/>
    </xf>
    <xf numFmtId="165" fontId="38" fillId="0" borderId="0" xfId="94" applyNumberFormat="1" applyFont="1" applyFill="1" applyBorder="1" applyAlignment="1">
      <alignment horizontal="left"/>
    </xf>
    <xf numFmtId="165" fontId="38" fillId="0" borderId="61" xfId="94" applyNumberFormat="1" applyFont="1" applyBorder="1" applyAlignment="1">
      <alignment horizontal="left"/>
    </xf>
    <xf numFmtId="0" fontId="38" fillId="0" borderId="12" xfId="94" applyFont="1" applyFill="1" applyBorder="1" applyAlignment="1">
      <alignment horizontal="left" vertical="center"/>
    </xf>
    <xf numFmtId="0" fontId="38" fillId="0" borderId="0" xfId="94" applyFont="1" applyFill="1" applyBorder="1" applyAlignment="1">
      <alignment horizontal="left" vertical="center"/>
    </xf>
    <xf numFmtId="0" fontId="38" fillId="0" borderId="0" xfId="94" applyFont="1" applyFill="1" applyBorder="1" applyAlignment="1">
      <alignment horizontal="left"/>
    </xf>
    <xf numFmtId="0" fontId="38" fillId="17" borderId="0" xfId="94" applyFont="1" applyFill="1" applyBorder="1" applyAlignment="1">
      <alignment horizontal="left"/>
    </xf>
    <xf numFmtId="165" fontId="38" fillId="17" borderId="0" xfId="94" applyNumberFormat="1" applyFont="1" applyFill="1" applyBorder="1" applyAlignment="1">
      <alignment horizontal="center"/>
    </xf>
    <xf numFmtId="0" fontId="38" fillId="5" borderId="0" xfId="94" applyFont="1" applyFill="1" applyBorder="1" applyAlignment="1">
      <alignment horizontal="left"/>
    </xf>
    <xf numFmtId="165" fontId="38" fillId="0" borderId="0" xfId="96" applyNumberFormat="1" applyFont="1"/>
    <xf numFmtId="165" fontId="38" fillId="5" borderId="0" xfId="96" applyNumberFormat="1" applyFont="1" applyFill="1"/>
    <xf numFmtId="0" fontId="38" fillId="5" borderId="0" xfId="0" applyFont="1" applyFill="1" applyBorder="1" applyAlignment="1">
      <alignment vertical="top" wrapText="1"/>
    </xf>
    <xf numFmtId="0" fontId="38" fillId="5" borderId="23" xfId="0" applyFont="1" applyFill="1" applyBorder="1" applyAlignment="1">
      <alignment vertical="top" wrapText="1"/>
    </xf>
    <xf numFmtId="43" fontId="33" fillId="5" borderId="94" xfId="135" applyFont="1" applyFill="1" applyBorder="1" applyAlignment="1"/>
    <xf numFmtId="43" fontId="33" fillId="5" borderId="14" xfId="135" applyFont="1" applyFill="1" applyBorder="1" applyAlignment="1"/>
    <xf numFmtId="43" fontId="38" fillId="5" borderId="94" xfId="0" applyNumberFormat="1" applyFont="1" applyFill="1" applyBorder="1" applyAlignment="1"/>
    <xf numFmtId="43" fontId="33" fillId="25" borderId="14" xfId="135" applyFont="1" applyFill="1" applyBorder="1" applyAlignment="1"/>
    <xf numFmtId="43" fontId="79" fillId="25" borderId="14" xfId="135" applyFont="1" applyFill="1" applyBorder="1" applyAlignment="1"/>
    <xf numFmtId="4" fontId="33" fillId="25" borderId="14" xfId="3" applyNumberFormat="1" applyFont="1" applyFill="1" applyBorder="1" applyAlignment="1"/>
    <xf numFmtId="0" fontId="0" fillId="0" borderId="0" xfId="0" applyFill="1" applyBorder="1"/>
    <xf numFmtId="3" fontId="83" fillId="25" borderId="11" xfId="0" applyNumberFormat="1" applyFont="1" applyFill="1" applyBorder="1" applyAlignment="1">
      <alignment horizontal="center"/>
    </xf>
    <xf numFmtId="0" fontId="38" fillId="5" borderId="6" xfId="0" applyFont="1" applyFill="1" applyBorder="1" applyAlignment="1">
      <alignment horizontal="left" vertical="center"/>
    </xf>
    <xf numFmtId="0" fontId="39" fillId="20" borderId="4" xfId="0" applyFont="1" applyFill="1" applyBorder="1" applyAlignment="1">
      <alignment horizontal="left"/>
    </xf>
    <xf numFmtId="0" fontId="0" fillId="5" borderId="0" xfId="0" applyFill="1" applyBorder="1"/>
    <xf numFmtId="0" fontId="58" fillId="0" borderId="6" xfId="0" applyFont="1" applyFill="1" applyBorder="1" applyAlignment="1"/>
    <xf numFmtId="0" fontId="58" fillId="0" borderId="0" xfId="0" applyFont="1" applyFill="1" applyBorder="1" applyAlignment="1"/>
    <xf numFmtId="0" fontId="38" fillId="5" borderId="6" xfId="0" applyFont="1" applyFill="1" applyBorder="1" applyAlignment="1">
      <alignment horizontal="left" vertical="center"/>
    </xf>
    <xf numFmtId="0" fontId="38" fillId="0" borderId="6" xfId="0" applyFont="1" applyFill="1" applyBorder="1" applyAlignment="1"/>
    <xf numFmtId="0" fontId="38" fillId="0" borderId="0" xfId="0" applyFont="1" applyFill="1" applyBorder="1" applyAlignment="1"/>
    <xf numFmtId="0" fontId="41" fillId="21" borderId="11" xfId="0" applyFont="1" applyFill="1" applyBorder="1" applyAlignment="1">
      <alignment horizontal="center" vertical="center" wrapText="1"/>
    </xf>
    <xf numFmtId="0" fontId="41" fillId="5" borderId="30" xfId="0" applyFont="1" applyFill="1" applyBorder="1" applyAlignment="1">
      <alignment horizontal="left"/>
    </xf>
    <xf numFmtId="0" fontId="41" fillId="5" borderId="0" xfId="0" applyFont="1" applyFill="1" applyAlignment="1">
      <alignment horizontal="left"/>
    </xf>
    <xf numFmtId="0" fontId="42" fillId="5" borderId="0" xfId="0" applyFont="1" applyFill="1" applyBorder="1" applyAlignment="1">
      <alignment horizontal="left"/>
    </xf>
    <xf numFmtId="0" fontId="42" fillId="5" borderId="0" xfId="0" applyFont="1" applyFill="1" applyBorder="1" applyAlignment="1">
      <alignment horizontal="left" vertical="center"/>
    </xf>
    <xf numFmtId="0" fontId="41" fillId="5" borderId="0" xfId="0" applyFont="1" applyFill="1" applyBorder="1" applyAlignment="1">
      <alignment horizontal="left"/>
    </xf>
    <xf numFmtId="0" fontId="33" fillId="0" borderId="0" xfId="0" applyFont="1" applyAlignment="1">
      <alignment horizontal="left"/>
    </xf>
    <xf numFmtId="0" fontId="33" fillId="5" borderId="0" xfId="0" applyFont="1" applyFill="1" applyAlignment="1">
      <alignment horizontal="left"/>
    </xf>
    <xf numFmtId="0" fontId="33" fillId="5" borderId="11" xfId="0" applyFont="1" applyFill="1" applyBorder="1" applyAlignment="1">
      <alignment horizontal="left"/>
    </xf>
    <xf numFmtId="0" fontId="33" fillId="0" borderId="11" xfId="0" applyFont="1" applyBorder="1" applyAlignment="1">
      <alignment horizontal="left"/>
    </xf>
    <xf numFmtId="165" fontId="33" fillId="5" borderId="11" xfId="0" applyNumberFormat="1" applyFont="1" applyFill="1" applyBorder="1" applyAlignment="1">
      <alignment horizontal="left"/>
    </xf>
    <xf numFmtId="189" fontId="33" fillId="5" borderId="11" xfId="0" applyNumberFormat="1" applyFont="1" applyFill="1" applyBorder="1" applyAlignment="1">
      <alignment horizontal="left" vertical="center"/>
    </xf>
    <xf numFmtId="0" fontId="33" fillId="5" borderId="40" xfId="0" applyFont="1" applyFill="1" applyBorder="1" applyAlignment="1">
      <alignment horizontal="left"/>
    </xf>
    <xf numFmtId="0" fontId="33" fillId="5" borderId="36" xfId="0" applyFont="1" applyFill="1" applyBorder="1" applyAlignment="1">
      <alignment horizontal="left"/>
    </xf>
    <xf numFmtId="1" fontId="33" fillId="5" borderId="36" xfId="0" applyNumberFormat="1" applyFont="1" applyFill="1" applyBorder="1" applyAlignment="1">
      <alignment horizontal="left"/>
    </xf>
    <xf numFmtId="0" fontId="33" fillId="5" borderId="13" xfId="0" applyFont="1" applyFill="1" applyBorder="1" applyAlignment="1">
      <alignment horizontal="left"/>
    </xf>
    <xf numFmtId="1" fontId="33" fillId="5" borderId="11" xfId="0" applyNumberFormat="1" applyFont="1" applyFill="1" applyBorder="1" applyAlignment="1">
      <alignment horizontal="left"/>
    </xf>
    <xf numFmtId="4" fontId="33" fillId="5" borderId="11" xfId="0" applyNumberFormat="1" applyFont="1" applyFill="1" applyBorder="1" applyAlignment="1">
      <alignment horizontal="left" vertical="center"/>
    </xf>
    <xf numFmtId="0" fontId="84" fillId="0" borderId="0" xfId="0" applyFont="1" applyAlignment="1">
      <alignment horizontal="left"/>
    </xf>
    <xf numFmtId="0" fontId="33" fillId="5" borderId="39" xfId="0" applyFont="1" applyFill="1" applyBorder="1" applyAlignment="1">
      <alignment horizontal="left"/>
    </xf>
    <xf numFmtId="1" fontId="33" fillId="5" borderId="40" xfId="0" applyNumberFormat="1" applyFont="1" applyFill="1" applyBorder="1" applyAlignment="1">
      <alignment horizontal="left"/>
    </xf>
    <xf numFmtId="4" fontId="33" fillId="5" borderId="40" xfId="0" applyNumberFormat="1" applyFont="1" applyFill="1" applyBorder="1" applyAlignment="1">
      <alignment horizontal="left" vertical="center"/>
    </xf>
    <xf numFmtId="0" fontId="41" fillId="18" borderId="19" xfId="0" applyFont="1" applyFill="1" applyBorder="1" applyAlignment="1">
      <alignment horizontal="left" vertical="center"/>
    </xf>
    <xf numFmtId="0" fontId="41" fillId="18" borderId="27" xfId="0" applyFont="1" applyFill="1" applyBorder="1" applyAlignment="1">
      <alignment horizontal="left" vertical="center"/>
    </xf>
    <xf numFmtId="187" fontId="41" fillId="18" borderId="27" xfId="0" applyNumberFormat="1" applyFont="1" applyFill="1" applyBorder="1" applyAlignment="1">
      <alignment horizontal="left" vertical="center"/>
    </xf>
    <xf numFmtId="0" fontId="41" fillId="18" borderId="19" xfId="0" applyFont="1" applyFill="1" applyBorder="1" applyAlignment="1">
      <alignment horizontal="left"/>
    </xf>
    <xf numFmtId="0" fontId="41" fillId="18" borderId="27" xfId="0" applyFont="1" applyFill="1" applyBorder="1" applyAlignment="1">
      <alignment horizontal="left"/>
    </xf>
    <xf numFmtId="4" fontId="33" fillId="0" borderId="0" xfId="0" applyNumberFormat="1" applyFont="1" applyAlignment="1">
      <alignment horizontal="left" vertical="center"/>
    </xf>
    <xf numFmtId="0" fontId="42" fillId="5" borderId="4" xfId="0" applyFont="1" applyFill="1" applyBorder="1" applyAlignment="1">
      <alignment horizontal="left"/>
    </xf>
    <xf numFmtId="0" fontId="33" fillId="0" borderId="11" xfId="0" applyFont="1" applyBorder="1" applyAlignment="1">
      <alignment horizontal="left" vertical="center"/>
    </xf>
    <xf numFmtId="180" fontId="33" fillId="0" borderId="38" xfId="0" applyNumberFormat="1" applyFont="1" applyBorder="1" applyAlignment="1">
      <alignment horizontal="left"/>
    </xf>
    <xf numFmtId="0" fontId="33" fillId="0" borderId="13" xfId="0" applyFont="1" applyBorder="1" applyAlignment="1">
      <alignment horizontal="left"/>
    </xf>
    <xf numFmtId="165" fontId="33" fillId="5" borderId="40" xfId="0" applyNumberFormat="1" applyFont="1" applyFill="1" applyBorder="1" applyAlignment="1">
      <alignment horizontal="left"/>
    </xf>
    <xf numFmtId="0" fontId="33" fillId="5" borderId="40" xfId="0" applyFont="1" applyFill="1" applyBorder="1" applyAlignment="1">
      <alignment horizontal="left" vertical="center"/>
    </xf>
    <xf numFmtId="0" fontId="41" fillId="22" borderId="76" xfId="0" applyFont="1" applyFill="1" applyBorder="1" applyAlignment="1">
      <alignment horizontal="left"/>
    </xf>
    <xf numFmtId="0" fontId="41" fillId="22" borderId="100" xfId="0" applyFont="1" applyFill="1" applyBorder="1" applyAlignment="1">
      <alignment horizontal="left"/>
    </xf>
    <xf numFmtId="0" fontId="41" fillId="22" borderId="100" xfId="0" applyFont="1" applyFill="1" applyBorder="1" applyAlignment="1">
      <alignment horizontal="left" vertical="center"/>
    </xf>
    <xf numFmtId="0" fontId="41" fillId="22" borderId="83" xfId="0" applyFont="1" applyFill="1" applyBorder="1" applyAlignment="1">
      <alignment horizontal="left" vertical="center"/>
    </xf>
    <xf numFmtId="0" fontId="33" fillId="5" borderId="16" xfId="0" applyFont="1" applyFill="1" applyBorder="1" applyAlignment="1">
      <alignment horizontal="left"/>
    </xf>
    <xf numFmtId="0" fontId="33" fillId="5" borderId="36" xfId="0" applyFont="1" applyFill="1" applyBorder="1" applyAlignment="1">
      <alignment horizontal="left" vertical="center"/>
    </xf>
    <xf numFmtId="0" fontId="33" fillId="0" borderId="36" xfId="0" applyFont="1" applyBorder="1" applyAlignment="1">
      <alignment horizontal="left"/>
    </xf>
    <xf numFmtId="0" fontId="33" fillId="0" borderId="37" xfId="0" applyFont="1" applyBorder="1" applyAlignment="1">
      <alignment horizontal="left"/>
    </xf>
    <xf numFmtId="4" fontId="33" fillId="5" borderId="36" xfId="0" applyNumberFormat="1" applyFont="1" applyFill="1" applyBorder="1" applyAlignment="1">
      <alignment horizontal="left" vertical="center"/>
    </xf>
    <xf numFmtId="165" fontId="33" fillId="5" borderId="36" xfId="0" applyNumberFormat="1" applyFont="1" applyFill="1" applyBorder="1" applyAlignment="1">
      <alignment horizontal="left"/>
    </xf>
    <xf numFmtId="180" fontId="33" fillId="0" borderId="37" xfId="0" applyNumberFormat="1" applyFont="1" applyBorder="1" applyAlignment="1">
      <alignment horizontal="left"/>
    </xf>
    <xf numFmtId="180" fontId="33" fillId="0" borderId="41" xfId="0" applyNumberFormat="1" applyFont="1" applyBorder="1" applyAlignment="1">
      <alignment horizontal="left"/>
    </xf>
    <xf numFmtId="0" fontId="42" fillId="5" borderId="30" xfId="0" applyFont="1" applyFill="1" applyBorder="1" applyAlignment="1"/>
    <xf numFmtId="0" fontId="42" fillId="5" borderId="0" xfId="0" applyFont="1" applyFill="1" applyBorder="1" applyAlignment="1"/>
    <xf numFmtId="0" fontId="38" fillId="0" borderId="97" xfId="0" applyFont="1" applyBorder="1"/>
    <xf numFmtId="0" fontId="38" fillId="0" borderId="14" xfId="0" applyFont="1" applyBorder="1"/>
    <xf numFmtId="0" fontId="34" fillId="24" borderId="11" xfId="0" applyFont="1" applyFill="1" applyBorder="1" applyAlignment="1">
      <alignment horizontal="center"/>
    </xf>
    <xf numFmtId="44" fontId="39" fillId="24" borderId="7" xfId="3" applyFont="1" applyFill="1" applyBorder="1" applyAlignment="1"/>
    <xf numFmtId="186" fontId="39" fillId="24" borderId="10" xfId="3" applyNumberFormat="1" applyFont="1" applyFill="1" applyBorder="1" applyAlignment="1"/>
    <xf numFmtId="3" fontId="48" fillId="25" borderId="14" xfId="0" applyNumberFormat="1" applyFont="1" applyFill="1" applyBorder="1" applyAlignment="1" applyProtection="1">
      <alignment horizontal="center" vertical="center"/>
      <protection locked="0"/>
    </xf>
    <xf numFmtId="0" fontId="48" fillId="25" borderId="14" xfId="0" applyFont="1" applyFill="1" applyBorder="1" applyAlignment="1" applyProtection="1">
      <alignment horizontal="center" vertical="center"/>
      <protection locked="0"/>
    </xf>
    <xf numFmtId="4" fontId="48" fillId="25" borderId="14" xfId="0" applyNumberFormat="1" applyFont="1" applyFill="1" applyBorder="1" applyAlignment="1" applyProtection="1">
      <alignment horizontal="center" vertical="center"/>
      <protection locked="0"/>
    </xf>
    <xf numFmtId="2" fontId="48" fillId="25" borderId="14" xfId="0" applyNumberFormat="1" applyFont="1" applyFill="1" applyBorder="1" applyAlignment="1" applyProtection="1">
      <alignment horizontal="center" vertical="center"/>
      <protection locked="0"/>
    </xf>
    <xf numFmtId="0" fontId="38" fillId="25" borderId="18" xfId="0" applyFont="1" applyFill="1" applyBorder="1" applyAlignment="1" applyProtection="1">
      <alignment horizontal="center" vertical="center"/>
      <protection locked="0"/>
    </xf>
    <xf numFmtId="4" fontId="49" fillId="25" borderId="11" xfId="0" applyNumberFormat="1" applyFont="1" applyFill="1" applyBorder="1" applyAlignment="1" applyProtection="1">
      <alignment horizontal="center"/>
      <protection locked="0"/>
    </xf>
    <xf numFmtId="4" fontId="49" fillId="25" borderId="11" xfId="0" applyNumberFormat="1" applyFont="1" applyFill="1" applyBorder="1" applyAlignment="1" applyProtection="1">
      <alignment horizontal="center" vertical="center"/>
      <protection locked="0"/>
    </xf>
    <xf numFmtId="182" fontId="49" fillId="25" borderId="11" xfId="0" applyNumberFormat="1" applyFont="1" applyFill="1" applyBorder="1" applyAlignment="1" applyProtection="1">
      <alignment horizontal="center" vertical="center"/>
      <protection locked="0"/>
    </xf>
    <xf numFmtId="182" fontId="49" fillId="25" borderId="11" xfId="0" applyNumberFormat="1" applyFont="1" applyFill="1" applyBorder="1" applyAlignment="1" applyProtection="1">
      <alignment vertical="center"/>
      <protection locked="0"/>
    </xf>
    <xf numFmtId="0" fontId="75" fillId="25" borderId="11" xfId="0" applyFont="1" applyFill="1" applyBorder="1" applyProtection="1">
      <protection locked="0"/>
    </xf>
    <xf numFmtId="3" fontId="49" fillId="25" borderId="11" xfId="0" applyNumberFormat="1" applyFont="1" applyFill="1" applyBorder="1" applyAlignment="1" applyProtection="1">
      <alignment horizontal="center" vertical="center"/>
      <protection locked="0"/>
    </xf>
    <xf numFmtId="4" fontId="33" fillId="25" borderId="11" xfId="0" applyNumberFormat="1" applyFont="1" applyFill="1" applyBorder="1" applyAlignment="1" applyProtection="1">
      <alignment horizontal="center" vertical="center"/>
      <protection locked="0"/>
    </xf>
    <xf numFmtId="0" fontId="0" fillId="25" borderId="11" xfId="0" applyFill="1" applyBorder="1" applyProtection="1">
      <protection locked="0"/>
    </xf>
    <xf numFmtId="4" fontId="0" fillId="25" borderId="11" xfId="0" applyNumberFormat="1" applyFill="1" applyBorder="1" applyAlignment="1" applyProtection="1">
      <alignment horizontal="center"/>
      <protection locked="0"/>
    </xf>
    <xf numFmtId="182" fontId="33" fillId="25" borderId="11" xfId="0" applyNumberFormat="1" applyFont="1" applyFill="1" applyBorder="1" applyAlignment="1" applyProtection="1">
      <alignment horizontal="center" vertical="center"/>
      <protection locked="0"/>
    </xf>
    <xf numFmtId="180" fontId="38" fillId="5" borderId="94" xfId="0" applyNumberFormat="1" applyFont="1" applyFill="1" applyBorder="1" applyAlignment="1">
      <alignment horizontal="center"/>
    </xf>
    <xf numFmtId="0" fontId="141" fillId="25" borderId="7" xfId="0" applyFont="1" applyFill="1" applyBorder="1" applyAlignment="1">
      <alignment horizontal="left"/>
    </xf>
    <xf numFmtId="0" fontId="141" fillId="5" borderId="73" xfId="0" applyFont="1" applyFill="1" applyBorder="1" applyAlignment="1">
      <alignment horizontal="left"/>
    </xf>
    <xf numFmtId="0" fontId="141" fillId="25" borderId="18" xfId="0" applyFont="1" applyFill="1" applyBorder="1" applyAlignment="1">
      <alignment horizontal="left"/>
    </xf>
    <xf numFmtId="0" fontId="141" fillId="0" borderId="18" xfId="0" applyFont="1" applyFill="1" applyBorder="1" applyAlignment="1">
      <alignment horizontal="left"/>
    </xf>
    <xf numFmtId="4" fontId="141" fillId="25" borderId="11" xfId="0" applyNumberFormat="1" applyFont="1" applyFill="1" applyBorder="1" applyAlignment="1">
      <alignment horizontal="center" vertical="center"/>
    </xf>
    <xf numFmtId="4" fontId="78" fillId="25" borderId="12" xfId="0" applyNumberFormat="1" applyFont="1" applyFill="1" applyBorder="1" applyAlignment="1">
      <alignment horizontal="center" vertical="center"/>
    </xf>
    <xf numFmtId="4" fontId="78" fillId="25" borderId="11" xfId="0" applyNumberFormat="1" applyFont="1" applyFill="1" applyBorder="1" applyAlignment="1">
      <alignment horizontal="center" vertical="center"/>
    </xf>
    <xf numFmtId="4" fontId="78" fillId="25" borderId="38" xfId="0" applyNumberFormat="1" applyFont="1" applyFill="1" applyBorder="1" applyAlignment="1">
      <alignment horizontal="center" vertical="center"/>
    </xf>
    <xf numFmtId="4" fontId="141" fillId="25" borderId="40" xfId="0" applyNumberFormat="1" applyFont="1" applyFill="1" applyBorder="1" applyAlignment="1">
      <alignment horizontal="center" vertical="center"/>
    </xf>
    <xf numFmtId="4" fontId="78" fillId="25" borderId="40" xfId="0" applyNumberFormat="1" applyFont="1" applyFill="1" applyBorder="1" applyAlignment="1">
      <alignment horizontal="center" vertical="center"/>
    </xf>
    <xf numFmtId="4" fontId="78" fillId="25" borderId="78" xfId="0" applyNumberFormat="1" applyFont="1" applyFill="1" applyBorder="1" applyAlignment="1">
      <alignment horizontal="center" vertical="center"/>
    </xf>
    <xf numFmtId="4" fontId="78" fillId="25" borderId="41" xfId="0" applyNumberFormat="1" applyFont="1" applyFill="1" applyBorder="1" applyAlignment="1">
      <alignment horizontal="center" vertical="center"/>
    </xf>
    <xf numFmtId="0" fontId="37" fillId="5" borderId="0" xfId="0" applyFont="1" applyFill="1" applyAlignment="1"/>
    <xf numFmtId="0" fontId="33" fillId="0" borderId="11" xfId="0" applyFont="1" applyBorder="1" applyAlignment="1">
      <alignment horizontal="left" vertical="top" wrapText="1"/>
    </xf>
    <xf numFmtId="0" fontId="41" fillId="21" borderId="11" xfId="0" applyFont="1" applyFill="1" applyBorder="1" applyAlignment="1">
      <alignment horizontal="center" vertical="center" wrapText="1"/>
    </xf>
    <xf numFmtId="0" fontId="64" fillId="0" borderId="7" xfId="0" applyFont="1" applyFill="1" applyBorder="1"/>
    <xf numFmtId="0" fontId="141" fillId="0" borderId="73" xfId="0" applyFont="1" applyFill="1" applyBorder="1" applyAlignment="1">
      <alignment horizontal="left"/>
    </xf>
    <xf numFmtId="0" fontId="141" fillId="25" borderId="98" xfId="0" applyFont="1" applyFill="1" applyBorder="1" applyAlignment="1">
      <alignment horizontal="left"/>
    </xf>
    <xf numFmtId="4" fontId="48" fillId="25" borderId="97" xfId="0" applyNumberFormat="1" applyFont="1" applyFill="1" applyBorder="1"/>
    <xf numFmtId="0" fontId="33" fillId="0" borderId="8" xfId="0" applyFont="1" applyBorder="1" applyAlignment="1"/>
    <xf numFmtId="4" fontId="48" fillId="25" borderId="71" xfId="0" applyNumberFormat="1" applyFont="1" applyFill="1" applyBorder="1"/>
    <xf numFmtId="0" fontId="141" fillId="25" borderId="80" xfId="0" applyFont="1" applyFill="1" applyBorder="1" applyAlignment="1">
      <alignment horizontal="left"/>
    </xf>
    <xf numFmtId="0" fontId="58" fillId="0" borderId="14" xfId="0" applyFont="1" applyFill="1" applyBorder="1" applyAlignment="1"/>
    <xf numFmtId="3" fontId="48" fillId="0" borderId="0" xfId="0" applyNumberFormat="1" applyFont="1" applyFill="1" applyBorder="1"/>
    <xf numFmtId="3" fontId="48" fillId="25" borderId="14" xfId="0" applyNumberFormat="1" applyFont="1" applyFill="1" applyBorder="1"/>
    <xf numFmtId="0" fontId="95" fillId="0" borderId="97" xfId="0" applyFont="1" applyFill="1" applyBorder="1" applyAlignment="1">
      <alignment horizontal="center"/>
    </xf>
    <xf numFmtId="0" fontId="95" fillId="0" borderId="18" xfId="0" applyFont="1" applyFill="1" applyBorder="1" applyAlignment="1">
      <alignment horizontal="center"/>
    </xf>
    <xf numFmtId="0" fontId="95" fillId="0" borderId="98" xfId="0" applyFont="1" applyFill="1" applyBorder="1" applyAlignment="1">
      <alignment horizontal="center" vertical="center"/>
    </xf>
    <xf numFmtId="0" fontId="38" fillId="5" borderId="0" xfId="0" applyFont="1" applyFill="1" applyBorder="1" applyAlignment="1">
      <alignment horizontal="right" vertical="center"/>
    </xf>
    <xf numFmtId="3" fontId="48" fillId="5" borderId="4" xfId="0" applyNumberFormat="1" applyFont="1" applyFill="1" applyBorder="1" applyAlignment="1">
      <alignment horizontal="center"/>
    </xf>
    <xf numFmtId="182" fontId="34" fillId="5" borderId="4" xfId="0" applyNumberFormat="1" applyFont="1" applyFill="1" applyBorder="1" applyAlignment="1">
      <alignment horizontal="center"/>
    </xf>
    <xf numFmtId="0" fontId="48" fillId="25" borderId="11" xfId="0" applyFont="1" applyFill="1" applyBorder="1" applyAlignment="1">
      <alignment horizontal="center"/>
    </xf>
    <xf numFmtId="3" fontId="48" fillId="25" borderId="0" xfId="0" applyNumberFormat="1" applyFont="1" applyFill="1" applyAlignment="1">
      <alignment horizontal="center"/>
    </xf>
    <xf numFmtId="0" fontId="48" fillId="25" borderId="0" xfId="0" applyFont="1" applyFill="1" applyAlignment="1">
      <alignment horizontal="center"/>
    </xf>
    <xf numFmtId="4" fontId="49" fillId="25" borderId="11" xfId="0" applyNumberFormat="1" applyFont="1" applyFill="1" applyBorder="1" applyAlignment="1">
      <alignment horizontal="center"/>
    </xf>
    <xf numFmtId="4" fontId="49" fillId="25" borderId="12" xfId="0" applyNumberFormat="1" applyFont="1" applyFill="1" applyBorder="1" applyAlignment="1">
      <alignment horizontal="center"/>
    </xf>
    <xf numFmtId="0" fontId="48" fillId="25" borderId="97" xfId="0" applyFont="1" applyFill="1" applyBorder="1" applyAlignment="1">
      <alignment horizontal="center"/>
    </xf>
    <xf numFmtId="3" fontId="48" fillId="5" borderId="14" xfId="0" applyNumberFormat="1" applyFont="1" applyFill="1" applyBorder="1" applyAlignment="1">
      <alignment horizontal="center"/>
    </xf>
    <xf numFmtId="0" fontId="142" fillId="0" borderId="0" xfId="0" applyFont="1" applyFill="1" applyBorder="1" applyAlignment="1"/>
    <xf numFmtId="4" fontId="49" fillId="25" borderId="11" xfId="0" applyNumberFormat="1" applyFont="1" applyFill="1" applyBorder="1" applyAlignment="1">
      <alignment horizontal="center" vertical="center"/>
    </xf>
    <xf numFmtId="182" fontId="49" fillId="25" borderId="11" xfId="0" applyNumberFormat="1" applyFont="1" applyFill="1" applyBorder="1" applyAlignment="1">
      <alignment horizontal="center" vertical="center"/>
    </xf>
    <xf numFmtId="4" fontId="49" fillId="25" borderId="12" xfId="0" applyNumberFormat="1" applyFont="1" applyFill="1" applyBorder="1" applyAlignment="1">
      <alignment horizontal="center" vertical="center"/>
    </xf>
    <xf numFmtId="0" fontId="48" fillId="25" borderId="0" xfId="0" applyFont="1" applyFill="1"/>
    <xf numFmtId="182" fontId="49" fillId="25" borderId="38" xfId="0" applyNumberFormat="1" applyFont="1" applyFill="1" applyBorder="1" applyAlignment="1">
      <alignment horizontal="center" vertical="center"/>
    </xf>
    <xf numFmtId="0" fontId="33" fillId="5" borderId="11" xfId="0" applyFont="1" applyFill="1" applyBorder="1" applyAlignment="1">
      <alignment vertical="center"/>
    </xf>
    <xf numFmtId="0" fontId="33" fillId="0" borderId="64" xfId="0" applyFont="1" applyBorder="1" applyAlignment="1">
      <alignment vertical="top" wrapText="1"/>
    </xf>
    <xf numFmtId="0" fontId="33" fillId="0" borderId="26" xfId="0" applyFont="1" applyBorder="1" applyAlignment="1">
      <alignment vertical="top" wrapText="1"/>
    </xf>
    <xf numFmtId="0" fontId="0" fillId="20" borderId="13" xfId="0" applyFill="1" applyBorder="1" applyAlignment="1">
      <alignment vertical="top" wrapText="1"/>
    </xf>
    <xf numFmtId="0" fontId="0" fillId="20" borderId="0" xfId="0" applyFill="1" applyAlignment="1">
      <alignment vertical="top" wrapText="1"/>
    </xf>
    <xf numFmtId="0" fontId="0" fillId="0" borderId="32" xfId="0" applyBorder="1" applyAlignment="1">
      <alignment vertical="top" wrapText="1"/>
    </xf>
    <xf numFmtId="0" fontId="89" fillId="0" borderId="0" xfId="0" applyFont="1" applyAlignment="1">
      <alignment horizontal="center" vertical="center"/>
    </xf>
    <xf numFmtId="0" fontId="0" fillId="20" borderId="0" xfId="0" applyFill="1"/>
    <xf numFmtId="0" fontId="89" fillId="0" borderId="0" xfId="0" applyFont="1" applyBorder="1" applyAlignment="1">
      <alignment vertical="top"/>
    </xf>
    <xf numFmtId="3" fontId="33" fillId="0" borderId="11" xfId="0" applyNumberFormat="1" applyFont="1" applyBorder="1" applyAlignment="1">
      <alignment horizontal="left" vertical="center"/>
    </xf>
    <xf numFmtId="0" fontId="33" fillId="0" borderId="0" xfId="0" applyFont="1" applyBorder="1" applyAlignment="1">
      <alignment horizontal="left" vertical="center"/>
    </xf>
    <xf numFmtId="0" fontId="33" fillId="20" borderId="0" xfId="0" applyFont="1" applyFill="1"/>
    <xf numFmtId="0" fontId="33" fillId="0" borderId="11" xfId="0" applyFont="1" applyBorder="1" applyAlignment="1">
      <alignment horizontal="left" vertical="top"/>
    </xf>
    <xf numFmtId="0" fontId="33" fillId="0" borderId="11" xfId="0" applyFont="1" applyBorder="1" applyAlignment="1">
      <alignment horizontal="left" wrapText="1"/>
    </xf>
    <xf numFmtId="0" fontId="33" fillId="0" borderId="11" xfId="0" applyFont="1" applyBorder="1"/>
    <xf numFmtId="0" fontId="41" fillId="5" borderId="11" xfId="0" applyFont="1" applyFill="1" applyBorder="1" applyAlignment="1">
      <alignment horizontal="center" vertical="center" wrapText="1"/>
    </xf>
    <xf numFmtId="0" fontId="41" fillId="5" borderId="11" xfId="0" applyFont="1" applyFill="1" applyBorder="1" applyAlignment="1">
      <alignment horizontal="left" vertical="center" wrapText="1"/>
    </xf>
    <xf numFmtId="0" fontId="0" fillId="0" borderId="0" xfId="0" applyAlignment="1">
      <alignment horizontal="center"/>
    </xf>
    <xf numFmtId="0" fontId="84" fillId="0" borderId="0" xfId="94" applyFont="1" applyFill="1" applyBorder="1" applyAlignment="1">
      <alignment wrapText="1"/>
    </xf>
    <xf numFmtId="2" fontId="38" fillId="5" borderId="0" xfId="94" applyNumberFormat="1" applyFont="1" applyFill="1" applyBorder="1" applyAlignment="1">
      <alignment horizontal="center" vertical="center"/>
    </xf>
    <xf numFmtId="3" fontId="48" fillId="25" borderId="98" xfId="0" applyNumberFormat="1" applyFont="1" applyFill="1" applyBorder="1" applyAlignment="1">
      <alignment horizontal="center"/>
    </xf>
    <xf numFmtId="0" fontId="0" fillId="0" borderId="97" xfId="0" applyBorder="1" applyAlignment="1"/>
    <xf numFmtId="0" fontId="0" fillId="0" borderId="14" xfId="0" applyBorder="1" applyAlignment="1"/>
    <xf numFmtId="0" fontId="0" fillId="0" borderId="97" xfId="0" applyBorder="1" applyAlignment="1">
      <alignment horizontal="center" vertical="center" wrapText="1"/>
    </xf>
    <xf numFmtId="0" fontId="0" fillId="0" borderId="97" xfId="0" applyBorder="1" applyAlignment="1">
      <alignment horizontal="center"/>
    </xf>
    <xf numFmtId="2" fontId="0" fillId="0" borderId="97" xfId="0" applyNumberFormat="1" applyBorder="1" applyAlignment="1">
      <alignment horizontal="center"/>
    </xf>
    <xf numFmtId="0" fontId="38" fillId="5" borderId="64" xfId="0" applyFont="1" applyFill="1" applyBorder="1" applyAlignment="1">
      <alignment horizontal="center"/>
    </xf>
    <xf numFmtId="0" fontId="38" fillId="5" borderId="9" xfId="0" applyFont="1" applyFill="1" applyBorder="1" applyAlignment="1">
      <alignment horizontal="right"/>
    </xf>
    <xf numFmtId="3" fontId="48" fillId="25" borderId="9" xfId="0" applyNumberFormat="1" applyFont="1" applyFill="1" applyBorder="1" applyAlignment="1" applyProtection="1">
      <alignment horizontal="center" vertical="center"/>
      <protection locked="0"/>
    </xf>
    <xf numFmtId="165" fontId="33" fillId="5" borderId="0" xfId="0" applyNumberFormat="1" applyFont="1" applyFill="1" applyBorder="1" applyAlignment="1">
      <alignment horizontal="center" vertical="center"/>
    </xf>
    <xf numFmtId="165" fontId="38" fillId="5" borderId="11" xfId="94" applyNumberFormat="1" applyFont="1" applyFill="1" applyBorder="1" applyAlignment="1">
      <alignment horizontal="center" vertical="center"/>
    </xf>
    <xf numFmtId="4" fontId="38" fillId="25" borderId="0" xfId="0" applyNumberFormat="1" applyFont="1" applyFill="1" applyBorder="1" applyAlignment="1">
      <alignment horizontal="center" wrapText="1"/>
    </xf>
    <xf numFmtId="4" fontId="39" fillId="20" borderId="4" xfId="2" applyNumberFormat="1" applyFont="1" applyFill="1" applyBorder="1" applyAlignment="1">
      <alignment horizontal="right"/>
    </xf>
    <xf numFmtId="4" fontId="39" fillId="17" borderId="9" xfId="3" applyNumberFormat="1" applyFont="1" applyFill="1" applyBorder="1" applyAlignment="1">
      <alignment horizontal="right"/>
    </xf>
    <xf numFmtId="11" fontId="41" fillId="5" borderId="41" xfId="0" applyNumberFormat="1" applyFont="1" applyFill="1" applyBorder="1" applyAlignment="1">
      <alignment horizontal="left"/>
    </xf>
    <xf numFmtId="4" fontId="38" fillId="0" borderId="0" xfId="94" applyNumberFormat="1" applyFont="1" applyAlignment="1">
      <alignment horizontal="center"/>
    </xf>
    <xf numFmtId="0" fontId="95" fillId="0" borderId="6" xfId="94" applyFont="1" applyBorder="1"/>
    <xf numFmtId="2" fontId="33" fillId="0" borderId="0" xfId="0" applyNumberFormat="1" applyFont="1" applyAlignment="1">
      <alignment horizontal="center"/>
    </xf>
    <xf numFmtId="0" fontId="95" fillId="5" borderId="73" xfId="94" applyFont="1" applyFill="1" applyBorder="1" applyAlignment="1">
      <alignment wrapText="1"/>
    </xf>
    <xf numFmtId="2" fontId="38" fillId="5" borderId="14" xfId="0" applyNumberFormat="1" applyFont="1" applyFill="1" applyBorder="1" applyAlignment="1">
      <alignment horizontal="center" vertical="center"/>
    </xf>
    <xf numFmtId="4" fontId="38" fillId="0" borderId="6" xfId="2" applyNumberFormat="1" applyFont="1" applyFill="1" applyBorder="1" applyAlignment="1">
      <alignment horizontal="center" vertical="center"/>
    </xf>
    <xf numFmtId="2" fontId="70" fillId="0" borderId="0" xfId="0" applyNumberFormat="1" applyFont="1" applyAlignment="1">
      <alignment horizontal="center"/>
    </xf>
    <xf numFmtId="0" fontId="33" fillId="0" borderId="0" xfId="0" applyFont="1" applyBorder="1" applyAlignment="1">
      <alignment horizontal="center"/>
    </xf>
    <xf numFmtId="4" fontId="45" fillId="17" borderId="9" xfId="0" applyNumberFormat="1" applyFont="1" applyFill="1" applyBorder="1" applyAlignment="1">
      <alignment horizontal="right"/>
    </xf>
    <xf numFmtId="0" fontId="52" fillId="0" borderId="97" xfId="0" applyFont="1" applyFill="1" applyBorder="1" applyAlignment="1"/>
    <xf numFmtId="188" fontId="38" fillId="0" borderId="14" xfId="0" applyNumberFormat="1" applyFont="1" applyBorder="1"/>
    <xf numFmtId="0" fontId="136" fillId="0" borderId="97" xfId="0" applyFont="1" applyFill="1" applyBorder="1" applyAlignment="1"/>
    <xf numFmtId="0" fontId="12" fillId="0" borderId="0" xfId="0" applyFont="1" applyFill="1"/>
    <xf numFmtId="0" fontId="12" fillId="0" borderId="0" xfId="0" applyFont="1" applyFill="1" applyBorder="1"/>
    <xf numFmtId="0" fontId="0" fillId="25" borderId="101" xfId="64" applyFont="1" applyFill="1" applyBorder="1">
      <protection locked="0"/>
    </xf>
    <xf numFmtId="0" fontId="12" fillId="17" borderId="102" xfId="65" applyFont="1" applyFill="1" applyBorder="1"/>
    <xf numFmtId="0" fontId="12" fillId="28" borderId="101" xfId="66" applyFont="1" applyFill="1" applyBorder="1"/>
    <xf numFmtId="0" fontId="12" fillId="20" borderId="101" xfId="67" applyFont="1" applyFill="1" applyBorder="1"/>
    <xf numFmtId="0" fontId="12" fillId="5" borderId="0" xfId="0" applyFont="1" applyFill="1" applyBorder="1"/>
    <xf numFmtId="0" fontId="38" fillId="0" borderId="0" xfId="0" applyFont="1" applyFill="1" applyBorder="1" applyAlignment="1">
      <alignment horizontal="left" vertical="center" indent="1"/>
    </xf>
    <xf numFmtId="0" fontId="38" fillId="5" borderId="0" xfId="0" applyFont="1" applyFill="1" applyBorder="1" applyAlignment="1">
      <alignment horizontal="left" vertical="center" indent="1"/>
    </xf>
    <xf numFmtId="0" fontId="48" fillId="25" borderId="12" xfId="1" applyFont="1" applyFill="1" applyBorder="1"/>
    <xf numFmtId="0" fontId="35" fillId="25" borderId="12" xfId="1" applyFont="1" applyFill="1" applyBorder="1" applyAlignment="1">
      <alignment vertical="top"/>
    </xf>
    <xf numFmtId="3" fontId="38" fillId="25" borderId="62" xfId="0" applyNumberFormat="1" applyFont="1" applyFill="1" applyBorder="1" applyAlignment="1">
      <alignment horizontal="center" wrapText="1"/>
    </xf>
    <xf numFmtId="3" fontId="38" fillId="25" borderId="14" xfId="0" applyNumberFormat="1" applyFont="1" applyFill="1" applyBorder="1" applyAlignment="1">
      <alignment horizontal="center" wrapText="1"/>
    </xf>
    <xf numFmtId="9" fontId="39" fillId="17" borderId="4" xfId="136" applyFont="1" applyFill="1" applyBorder="1" applyAlignment="1">
      <alignment horizontal="right"/>
    </xf>
    <xf numFmtId="189" fontId="41" fillId="18" borderId="27" xfId="0" applyNumberFormat="1" applyFont="1" applyFill="1" applyBorder="1" applyAlignment="1">
      <alignment horizontal="right"/>
    </xf>
    <xf numFmtId="3" fontId="39" fillId="17" borderId="4" xfId="0" applyNumberFormat="1" applyFont="1" applyFill="1" applyBorder="1" applyAlignment="1">
      <alignment horizontal="right"/>
    </xf>
    <xf numFmtId="4" fontId="39" fillId="17" borderId="9" xfId="2" applyNumberFormat="1" applyFont="1" applyFill="1" applyBorder="1" applyAlignment="1">
      <alignment horizontal="right"/>
    </xf>
    <xf numFmtId="3" fontId="38" fillId="25" borderId="62" xfId="0" applyNumberFormat="1" applyFont="1" applyFill="1" applyBorder="1" applyAlignment="1">
      <alignment horizontal="center" vertical="center"/>
    </xf>
    <xf numFmtId="3" fontId="38" fillId="25" borderId="57" xfId="0" applyNumberFormat="1" applyFont="1" applyFill="1" applyBorder="1" applyAlignment="1">
      <alignment horizontal="center" vertical="center"/>
    </xf>
    <xf numFmtId="4" fontId="38" fillId="25" borderId="57" xfId="0" applyNumberFormat="1" applyFont="1" applyFill="1" applyBorder="1" applyAlignment="1">
      <alignment horizontal="center" vertical="center"/>
    </xf>
    <xf numFmtId="9" fontId="39" fillId="17" borderId="4" xfId="0" applyNumberFormat="1" applyFont="1" applyFill="1" applyBorder="1" applyAlignment="1">
      <alignment horizontal="right"/>
    </xf>
    <xf numFmtId="43" fontId="39" fillId="24" borderId="4" xfId="135" applyFont="1" applyFill="1" applyBorder="1" applyAlignment="1"/>
    <xf numFmtId="44" fontId="39" fillId="24" borderId="10" xfId="3" applyFont="1" applyFill="1" applyBorder="1" applyAlignment="1"/>
    <xf numFmtId="0" fontId="45" fillId="17" borderId="8" xfId="0" applyFont="1" applyFill="1" applyBorder="1" applyAlignment="1"/>
    <xf numFmtId="7" fontId="45" fillId="17" borderId="10" xfId="0" applyNumberFormat="1" applyFont="1" applyFill="1" applyBorder="1" applyAlignment="1"/>
    <xf numFmtId="0" fontId="0" fillId="17" borderId="9" xfId="0" applyFill="1" applyBorder="1"/>
    <xf numFmtId="9" fontId="39" fillId="17" borderId="5" xfId="136" applyFont="1" applyFill="1" applyBorder="1" applyAlignment="1"/>
    <xf numFmtId="44" fontId="34" fillId="20" borderId="10" xfId="0" applyNumberFormat="1" applyFont="1" applyFill="1" applyBorder="1" applyAlignment="1"/>
    <xf numFmtId="9" fontId="33" fillId="0" borderId="14" xfId="0" applyNumberFormat="1" applyFont="1" applyBorder="1" applyAlignment="1">
      <alignment horizontal="center"/>
    </xf>
    <xf numFmtId="178" fontId="33" fillId="0" borderId="14" xfId="135" applyNumberFormat="1" applyFont="1" applyBorder="1"/>
    <xf numFmtId="0" fontId="34" fillId="0" borderId="0" xfId="0" applyFont="1" applyBorder="1"/>
    <xf numFmtId="0" fontId="49" fillId="0" borderId="14" xfId="0" applyFont="1" applyBorder="1" applyAlignment="1">
      <alignment horizontal="left"/>
    </xf>
    <xf numFmtId="0" fontId="49" fillId="0" borderId="14" xfId="0" applyFont="1" applyBorder="1"/>
    <xf numFmtId="10" fontId="33" fillId="0" borderId="14" xfId="0" applyNumberFormat="1" applyFont="1" applyBorder="1" applyAlignment="1">
      <alignment horizontal="center"/>
    </xf>
    <xf numFmtId="0" fontId="49" fillId="0" borderId="14" xfId="0" applyFont="1" applyBorder="1" applyAlignment="1"/>
    <xf numFmtId="0" fontId="49" fillId="0" borderId="14" xfId="0" applyFont="1" applyBorder="1" applyAlignment="1">
      <alignment horizontal="center"/>
    </xf>
    <xf numFmtId="178" fontId="33" fillId="0" borderId="14" xfId="135" applyNumberFormat="1" applyFont="1" applyBorder="1" applyAlignment="1">
      <alignment horizontal="center"/>
    </xf>
    <xf numFmtId="0" fontId="33" fillId="0" borderId="0" xfId="0" applyFont="1" applyAlignment="1">
      <alignment horizontal="right"/>
    </xf>
    <xf numFmtId="0" fontId="33" fillId="0" borderId="34" xfId="0" applyFont="1" applyBorder="1"/>
    <xf numFmtId="0" fontId="84" fillId="0" borderId="0" xfId="0" applyFont="1"/>
    <xf numFmtId="0" fontId="33" fillId="0" borderId="14" xfId="0" applyFont="1" applyFill="1" applyBorder="1"/>
    <xf numFmtId="2" fontId="33" fillId="0" borderId="0" xfId="0" applyNumberFormat="1" applyFont="1" applyFill="1" applyBorder="1" applyAlignment="1">
      <alignment horizontal="center" vertical="center" wrapText="1"/>
    </xf>
    <xf numFmtId="2" fontId="33" fillId="0" borderId="0" xfId="0" applyNumberFormat="1" applyFont="1" applyFill="1" applyBorder="1" applyAlignment="1">
      <alignment horizontal="left" vertical="center" wrapText="1"/>
    </xf>
    <xf numFmtId="2" fontId="33" fillId="0" borderId="0" xfId="0" applyNumberFormat="1" applyFont="1"/>
    <xf numFmtId="178" fontId="33" fillId="0" borderId="0" xfId="0" applyNumberFormat="1" applyFont="1"/>
    <xf numFmtId="43" fontId="33" fillId="0" borderId="0" xfId="135" applyFont="1" applyAlignment="1"/>
    <xf numFmtId="9" fontId="33" fillId="0" borderId="0" xfId="0" applyNumberFormat="1" applyFont="1"/>
    <xf numFmtId="179" fontId="33" fillId="0" borderId="0" xfId="0" applyNumberFormat="1" applyFont="1"/>
    <xf numFmtId="43" fontId="33" fillId="0" borderId="0" xfId="0" applyNumberFormat="1" applyFont="1"/>
    <xf numFmtId="0" fontId="83" fillId="0" borderId="0" xfId="0" applyFont="1" applyFill="1" applyBorder="1" applyAlignment="1">
      <alignment horizontal="center" vertical="center"/>
    </xf>
    <xf numFmtId="0" fontId="34" fillId="0" borderId="0" xfId="0" applyFont="1" applyFill="1" applyBorder="1" applyAlignment="1">
      <alignment vertical="center"/>
    </xf>
    <xf numFmtId="0" fontId="49" fillId="0" borderId="0" xfId="0" applyFont="1" applyFill="1" applyBorder="1" applyAlignment="1">
      <alignment vertical="center" wrapText="1"/>
    </xf>
    <xf numFmtId="0" fontId="136" fillId="0" borderId="0" xfId="0" applyFont="1"/>
    <xf numFmtId="0" fontId="112" fillId="21" borderId="67" xfId="0" applyFont="1" applyFill="1" applyBorder="1" applyAlignment="1">
      <alignment horizontal="center"/>
    </xf>
    <xf numFmtId="0" fontId="112" fillId="21" borderId="67" xfId="0" applyFont="1" applyFill="1" applyBorder="1" applyAlignment="1">
      <alignment horizontal="center"/>
    </xf>
    <xf numFmtId="0" fontId="144" fillId="21" borderId="67" xfId="0" applyFont="1" applyFill="1" applyBorder="1" applyAlignment="1">
      <alignment horizontal="center"/>
    </xf>
    <xf numFmtId="0" fontId="38" fillId="0" borderId="0" xfId="0" applyFont="1" applyFill="1" applyBorder="1" applyAlignment="1">
      <alignment horizontal="right"/>
    </xf>
    <xf numFmtId="0" fontId="34" fillId="20" borderId="11" xfId="0" applyFont="1" applyFill="1" applyBorder="1" applyAlignment="1">
      <alignment horizontal="center"/>
    </xf>
    <xf numFmtId="0" fontId="33" fillId="20" borderId="11" xfId="0" applyFont="1" applyFill="1" applyBorder="1"/>
    <xf numFmtId="4" fontId="52" fillId="20" borderId="11" xfId="94" applyNumberFormat="1" applyFont="1" applyFill="1" applyBorder="1" applyAlignment="1">
      <alignment horizontal="center" vertical="center"/>
    </xf>
    <xf numFmtId="0" fontId="52" fillId="20" borderId="11" xfId="2" applyFont="1" applyFill="1" applyBorder="1" applyAlignment="1">
      <alignment horizontal="left" vertical="center"/>
    </xf>
    <xf numFmtId="0" fontId="52" fillId="20" borderId="11" xfId="94" applyFont="1" applyFill="1" applyBorder="1" applyAlignment="1">
      <alignment vertical="center" wrapText="1"/>
    </xf>
    <xf numFmtId="0" fontId="52" fillId="20" borderId="11" xfId="94" applyFont="1" applyFill="1" applyBorder="1" applyAlignment="1">
      <alignment vertical="center"/>
    </xf>
    <xf numFmtId="188" fontId="52" fillId="20" borderId="11" xfId="94" applyNumberFormat="1" applyFont="1" applyFill="1" applyBorder="1" applyAlignment="1">
      <alignment vertical="center" wrapText="1"/>
    </xf>
    <xf numFmtId="0" fontId="33" fillId="0" borderId="97" xfId="0" applyFont="1" applyBorder="1"/>
    <xf numFmtId="0" fontId="33" fillId="0" borderId="97" xfId="0" applyFont="1" applyBorder="1" applyAlignment="1">
      <alignment horizontal="center"/>
    </xf>
    <xf numFmtId="9" fontId="33" fillId="0" borderId="97" xfId="0" applyNumberFormat="1" applyFont="1" applyBorder="1" applyAlignment="1">
      <alignment horizontal="center"/>
    </xf>
    <xf numFmtId="178" fontId="33" fillId="0" borderId="97" xfId="135" applyNumberFormat="1" applyFont="1" applyBorder="1"/>
    <xf numFmtId="0" fontId="136" fillId="0" borderId="0" xfId="0" applyFont="1" applyFill="1" applyBorder="1"/>
    <xf numFmtId="0" fontId="119" fillId="0" borderId="0" xfId="0" applyFont="1" applyFill="1" applyBorder="1"/>
    <xf numFmtId="0" fontId="41" fillId="21" borderId="12" xfId="0" applyFont="1" applyFill="1" applyBorder="1"/>
    <xf numFmtId="0" fontId="41" fillId="21" borderId="14" xfId="0" applyFont="1" applyFill="1" applyBorder="1"/>
    <xf numFmtId="0" fontId="41" fillId="21" borderId="11" xfId="0" applyFont="1" applyFill="1" applyBorder="1" applyAlignment="1">
      <alignment horizontal="left" vertical="center"/>
    </xf>
    <xf numFmtId="0" fontId="146" fillId="21" borderId="11" xfId="0" applyFont="1" applyFill="1" applyBorder="1" applyAlignment="1">
      <alignment horizontal="center" vertical="center"/>
    </xf>
    <xf numFmtId="0" fontId="41" fillId="21" borderId="11" xfId="0" applyFont="1" applyFill="1" applyBorder="1" applyAlignment="1">
      <alignment horizontal="center"/>
    </xf>
    <xf numFmtId="0" fontId="41" fillId="21" borderId="64" xfId="0" applyFont="1" applyFill="1" applyBorder="1" applyAlignment="1">
      <alignment horizontal="center"/>
    </xf>
    <xf numFmtId="0" fontId="146" fillId="21" borderId="11" xfId="0" applyFont="1" applyFill="1" applyBorder="1" applyAlignment="1">
      <alignment horizontal="center"/>
    </xf>
    <xf numFmtId="0" fontId="41" fillId="30" borderId="11" xfId="0" applyFont="1" applyFill="1" applyBorder="1" applyAlignment="1">
      <alignment horizontal="center" vertical="center"/>
    </xf>
    <xf numFmtId="0" fontId="146" fillId="30" borderId="65" xfId="0" applyFont="1" applyFill="1" applyBorder="1" applyAlignment="1">
      <alignment vertical="center"/>
    </xf>
    <xf numFmtId="178" fontId="41" fillId="30" borderId="59" xfId="135" applyNumberFormat="1" applyFont="1" applyFill="1" applyBorder="1" applyAlignment="1">
      <alignment horizontal="center" vertical="center"/>
    </xf>
    <xf numFmtId="0" fontId="146" fillId="30" borderId="68" xfId="0" applyFont="1" applyFill="1" applyBorder="1" applyAlignment="1">
      <alignment vertical="center"/>
    </xf>
    <xf numFmtId="178" fontId="41" fillId="30" borderId="69" xfId="135" applyNumberFormat="1" applyFont="1" applyFill="1" applyBorder="1" applyAlignment="1">
      <alignment horizontal="center" vertical="center"/>
    </xf>
    <xf numFmtId="178" fontId="41" fillId="30" borderId="11" xfId="135" applyNumberFormat="1" applyFont="1" applyFill="1" applyBorder="1" applyAlignment="1">
      <alignment horizontal="center"/>
    </xf>
    <xf numFmtId="0" fontId="119" fillId="0" borderId="0" xfId="0" applyFont="1" applyFill="1"/>
    <xf numFmtId="0" fontId="41" fillId="30" borderId="64" xfId="0" applyFont="1" applyFill="1" applyBorder="1" applyAlignment="1">
      <alignment horizontal="center"/>
    </xf>
    <xf numFmtId="0" fontId="41" fillId="30" borderId="59" xfId="0" applyFont="1" applyFill="1" applyBorder="1" applyAlignment="1">
      <alignment horizontal="center" vertical="center"/>
    </xf>
    <xf numFmtId="2" fontId="41" fillId="30" borderId="64" xfId="0" applyNumberFormat="1" applyFont="1" applyFill="1" applyBorder="1"/>
    <xf numFmtId="0" fontId="41" fillId="30" borderId="69" xfId="0" applyFont="1" applyFill="1" applyBorder="1" applyAlignment="1">
      <alignment horizontal="center" vertical="center"/>
    </xf>
    <xf numFmtId="2" fontId="41" fillId="30" borderId="65" xfId="0" applyNumberFormat="1" applyFont="1" applyFill="1" applyBorder="1"/>
    <xf numFmtId="0" fontId="41" fillId="30" borderId="12" xfId="0" applyFont="1" applyFill="1" applyBorder="1" applyAlignment="1">
      <alignment vertical="center"/>
    </xf>
    <xf numFmtId="0" fontId="41" fillId="30" borderId="0" xfId="0" applyFont="1" applyFill="1"/>
    <xf numFmtId="2" fontId="41" fillId="30" borderId="12" xfId="0" applyNumberFormat="1" applyFont="1" applyFill="1" applyBorder="1" applyAlignment="1">
      <alignment horizontal="center" vertical="center"/>
    </xf>
    <xf numFmtId="0" fontId="41" fillId="21" borderId="12" xfId="0" applyFont="1" applyFill="1" applyBorder="1" applyAlignment="1">
      <alignment horizontal="center"/>
    </xf>
    <xf numFmtId="0" fontId="41" fillId="30" borderId="11" xfId="0" applyFont="1" applyFill="1" applyBorder="1" applyAlignment="1">
      <alignment horizontal="right" vertical="center"/>
    </xf>
    <xf numFmtId="0" fontId="41" fillId="30" borderId="11" xfId="0" applyFont="1" applyFill="1" applyBorder="1" applyAlignment="1">
      <alignment horizontal="center"/>
    </xf>
    <xf numFmtId="2" fontId="41" fillId="30" borderId="68" xfId="0" applyNumberFormat="1" applyFont="1" applyFill="1" applyBorder="1"/>
    <xf numFmtId="2" fontId="41" fillId="30" borderId="26" xfId="0" applyNumberFormat="1" applyFont="1" applyFill="1" applyBorder="1"/>
    <xf numFmtId="0" fontId="49" fillId="0" borderId="104" xfId="0" applyFont="1" applyFill="1" applyBorder="1" applyAlignment="1">
      <alignment vertical="center"/>
    </xf>
    <xf numFmtId="0" fontId="33" fillId="0" borderId="104" xfId="0" applyFont="1" applyFill="1" applyBorder="1" applyAlignment="1">
      <alignment horizontal="center" vertical="center"/>
    </xf>
    <xf numFmtId="0" fontId="33" fillId="0" borderId="104" xfId="0" applyFont="1" applyFill="1" applyBorder="1" applyAlignment="1">
      <alignment horizontal="center"/>
    </xf>
    <xf numFmtId="2" fontId="33" fillId="0" borderId="104" xfId="0" applyNumberFormat="1" applyFont="1" applyFill="1" applyBorder="1" applyAlignment="1">
      <alignment horizontal="center" vertical="center" wrapText="1"/>
    </xf>
    <xf numFmtId="0" fontId="49" fillId="0" borderId="14" xfId="0" applyFont="1" applyFill="1" applyBorder="1" applyAlignment="1">
      <alignment vertical="center"/>
    </xf>
    <xf numFmtId="0" fontId="33" fillId="0" borderId="14" xfId="0" applyFont="1" applyFill="1" applyBorder="1" applyAlignment="1">
      <alignment horizontal="center" vertical="center"/>
    </xf>
    <xf numFmtId="0" fontId="33" fillId="0" borderId="14" xfId="0" applyFont="1" applyFill="1" applyBorder="1" applyAlignment="1">
      <alignment horizontal="center"/>
    </xf>
    <xf numFmtId="2" fontId="33" fillId="0" borderId="14" xfId="0" applyNumberFormat="1" applyFont="1" applyFill="1" applyBorder="1" applyAlignment="1">
      <alignment horizontal="center" vertical="center" wrapText="1"/>
    </xf>
    <xf numFmtId="165" fontId="33" fillId="0" borderId="14" xfId="0" applyNumberFormat="1" applyFont="1" applyFill="1" applyBorder="1" applyAlignment="1">
      <alignment horizontal="center"/>
    </xf>
    <xf numFmtId="0" fontId="49" fillId="0" borderId="14" xfId="0" applyFont="1" applyFill="1" applyBorder="1" applyAlignment="1">
      <alignment vertical="center" wrapText="1"/>
    </xf>
    <xf numFmtId="0" fontId="33" fillId="0" borderId="14" xfId="0" applyFont="1" applyFill="1" applyBorder="1" applyAlignment="1">
      <alignment horizontal="center" vertical="center" wrapText="1"/>
    </xf>
    <xf numFmtId="43" fontId="38" fillId="5" borderId="14" xfId="0" applyNumberFormat="1" applyFont="1" applyFill="1" applyBorder="1" applyAlignment="1">
      <alignment horizontal="center"/>
    </xf>
    <xf numFmtId="0" fontId="49" fillId="5" borderId="59" xfId="0" applyFont="1" applyFill="1" applyBorder="1" applyAlignment="1">
      <alignment horizontal="right"/>
    </xf>
    <xf numFmtId="178" fontId="47" fillId="0" borderId="0" xfId="135" applyNumberFormat="1" applyFont="1" applyFill="1" applyBorder="1"/>
    <xf numFmtId="43" fontId="45" fillId="20" borderId="9" xfId="135" applyFont="1" applyFill="1" applyBorder="1" applyAlignment="1">
      <alignment horizontal="right"/>
    </xf>
    <xf numFmtId="191" fontId="39" fillId="20" borderId="4" xfId="135" applyNumberFormat="1" applyFont="1" applyFill="1" applyBorder="1" applyAlignment="1">
      <alignment horizontal="right"/>
    </xf>
    <xf numFmtId="0" fontId="33" fillId="0" borderId="0" xfId="0" applyFont="1" applyFill="1" applyBorder="1" applyAlignment="1">
      <alignment horizontal="center" vertical="center"/>
    </xf>
    <xf numFmtId="0" fontId="33" fillId="0" borderId="97" xfId="0" applyFont="1" applyFill="1" applyBorder="1" applyAlignment="1">
      <alignment horizontal="center" vertical="center"/>
    </xf>
    <xf numFmtId="0" fontId="33" fillId="0" borderId="0" xfId="0" applyFont="1" applyAlignment="1">
      <alignment horizontal="center"/>
    </xf>
    <xf numFmtId="0" fontId="33" fillId="0" borderId="57" xfId="0" applyFont="1" applyFill="1" applyBorder="1" applyAlignment="1">
      <alignment horizontal="center" vertical="center"/>
    </xf>
    <xf numFmtId="0" fontId="0" fillId="0" borderId="0" xfId="0" applyFill="1" applyAlignment="1">
      <alignment wrapText="1"/>
    </xf>
    <xf numFmtId="0" fontId="33" fillId="0" borderId="14" xfId="0" applyFont="1" applyFill="1" applyBorder="1" applyAlignment="1">
      <alignment horizontal="center" wrapText="1"/>
    </xf>
    <xf numFmtId="0" fontId="33" fillId="0" borderId="34" xfId="0" applyFont="1" applyFill="1" applyBorder="1" applyAlignment="1">
      <alignment horizontal="center" vertical="center" wrapText="1"/>
    </xf>
    <xf numFmtId="2" fontId="33" fillId="0" borderId="34" xfId="0" applyNumberFormat="1" applyFont="1" applyFill="1" applyBorder="1" applyAlignment="1">
      <alignment horizontal="center" vertical="center" wrapText="1"/>
    </xf>
    <xf numFmtId="0" fontId="12" fillId="5" borderId="101" xfId="9" applyFont="1" applyFill="1" applyBorder="1"/>
    <xf numFmtId="0" fontId="12" fillId="5" borderId="101" xfId="67" applyFont="1" applyFill="1" applyBorder="1"/>
    <xf numFmtId="0" fontId="33" fillId="5" borderId="0" xfId="0" applyFont="1" applyFill="1" applyAlignment="1">
      <alignment vertical="top" wrapText="1"/>
    </xf>
    <xf numFmtId="0" fontId="33" fillId="5" borderId="0" xfId="0" applyFont="1" applyFill="1" applyAlignment="1">
      <alignment vertical="top"/>
    </xf>
    <xf numFmtId="0" fontId="34" fillId="25" borderId="0" xfId="0" applyFont="1" applyFill="1" applyAlignment="1">
      <alignment horizontal="center" vertical="top" wrapText="1"/>
    </xf>
    <xf numFmtId="0" fontId="34" fillId="5" borderId="59" xfId="0" applyFont="1" applyFill="1" applyBorder="1" applyAlignment="1">
      <alignment horizontal="right"/>
    </xf>
    <xf numFmtId="0" fontId="33" fillId="25" borderId="12" xfId="0" applyFont="1" applyFill="1" applyBorder="1"/>
    <xf numFmtId="0" fontId="35" fillId="25" borderId="12" xfId="1" applyFont="1" applyFill="1" applyBorder="1"/>
    <xf numFmtId="0" fontId="38" fillId="25" borderId="12" xfId="1" applyFont="1" applyFill="1" applyBorder="1"/>
    <xf numFmtId="43" fontId="48" fillId="25" borderId="14" xfId="135" applyFont="1" applyFill="1" applyBorder="1" applyAlignment="1">
      <alignment horizontal="center" vertical="center"/>
    </xf>
    <xf numFmtId="43" fontId="38" fillId="25" borderId="14" xfId="135" applyFont="1" applyFill="1" applyBorder="1" applyAlignment="1">
      <alignment horizontal="center"/>
    </xf>
    <xf numFmtId="43" fontId="38" fillId="25" borderId="14" xfId="135" applyFont="1" applyFill="1" applyBorder="1" applyAlignment="1">
      <alignment horizontal="center" vertical="center"/>
    </xf>
    <xf numFmtId="43" fontId="48" fillId="25" borderId="71" xfId="135" applyFont="1" applyFill="1" applyBorder="1" applyAlignment="1">
      <alignment horizontal="center"/>
    </xf>
    <xf numFmtId="43" fontId="39" fillId="24" borderId="4" xfId="135" applyFont="1" applyFill="1" applyBorder="1" applyAlignment="1">
      <alignment horizontal="right"/>
    </xf>
    <xf numFmtId="3" fontId="48" fillId="25" borderId="11" xfId="0" applyNumberFormat="1" applyFont="1" applyFill="1" applyBorder="1" applyAlignment="1">
      <alignment horizontal="center"/>
    </xf>
    <xf numFmtId="44" fontId="34" fillId="20" borderId="9" xfId="0" applyNumberFormat="1" applyFont="1" applyFill="1" applyBorder="1" applyAlignment="1"/>
    <xf numFmtId="0" fontId="34" fillId="20" borderId="0" xfId="0" applyFont="1" applyFill="1" applyBorder="1"/>
    <xf numFmtId="10" fontId="34" fillId="20" borderId="0" xfId="136" applyNumberFormat="1" applyFont="1" applyFill="1" applyBorder="1" applyAlignment="1"/>
    <xf numFmtId="0" fontId="34" fillId="20" borderId="9" xfId="0" applyFont="1" applyFill="1" applyBorder="1"/>
    <xf numFmtId="0" fontId="52" fillId="20" borderId="7" xfId="2" applyFont="1" applyFill="1" applyBorder="1" applyAlignment="1"/>
    <xf numFmtId="0" fontId="34" fillId="20" borderId="6" xfId="0" applyFont="1" applyFill="1" applyBorder="1"/>
    <xf numFmtId="0" fontId="34" fillId="20" borderId="7" xfId="0" applyFont="1" applyFill="1" applyBorder="1"/>
    <xf numFmtId="0" fontId="52" fillId="0" borderId="0" xfId="0" applyFont="1"/>
    <xf numFmtId="0" fontId="52" fillId="0" borderId="0" xfId="0" applyFont="1" applyAlignment="1">
      <alignment vertical="center" wrapText="1"/>
    </xf>
    <xf numFmtId="0" fontId="34" fillId="0" borderId="59" xfId="0" applyFont="1" applyFill="1" applyBorder="1" applyAlignment="1">
      <alignment horizontal="right"/>
    </xf>
    <xf numFmtId="0" fontId="96" fillId="25" borderId="11" xfId="0" applyFont="1" applyFill="1" applyBorder="1" applyAlignment="1">
      <alignment horizontal="left" vertical="top"/>
    </xf>
    <xf numFmtId="43" fontId="48" fillId="25" borderId="14" xfId="135" applyFont="1" applyFill="1" applyBorder="1"/>
    <xf numFmtId="0" fontId="45" fillId="17" borderId="3" xfId="0" applyFont="1" applyFill="1" applyBorder="1" applyAlignment="1">
      <alignment horizontal="left" vertical="center"/>
    </xf>
    <xf numFmtId="43" fontId="39" fillId="17" borderId="4" xfId="135" applyFont="1" applyFill="1" applyBorder="1" applyAlignment="1">
      <alignment horizontal="right" vertical="center"/>
    </xf>
    <xf numFmtId="0" fontId="39" fillId="17" borderId="5" xfId="0" applyFont="1" applyFill="1" applyBorder="1" applyAlignment="1">
      <alignment vertical="center" wrapText="1"/>
    </xf>
    <xf numFmtId="0" fontId="39" fillId="17" borderId="8" xfId="0" applyFont="1" applyFill="1" applyBorder="1" applyAlignment="1">
      <alignment vertical="center"/>
    </xf>
    <xf numFmtId="43" fontId="39" fillId="17" borderId="9" xfId="135" applyFont="1" applyFill="1" applyBorder="1" applyAlignment="1">
      <alignment horizontal="right" vertical="center"/>
    </xf>
    <xf numFmtId="182" fontId="39" fillId="17" borderId="10" xfId="2" applyNumberFormat="1" applyFont="1" applyFill="1" applyBorder="1" applyAlignment="1">
      <alignment vertical="center"/>
    </xf>
    <xf numFmtId="43" fontId="39" fillId="24" borderId="9" xfId="135" applyFont="1" applyFill="1" applyBorder="1" applyAlignment="1">
      <alignment horizontal="right" vertical="center"/>
    </xf>
    <xf numFmtId="43" fontId="52" fillId="17" borderId="4" xfId="135" applyFont="1" applyFill="1" applyBorder="1" applyAlignment="1">
      <alignment horizontal="right"/>
    </xf>
    <xf numFmtId="43" fontId="52" fillId="17" borderId="9" xfId="135" applyFont="1" applyFill="1" applyBorder="1" applyAlignment="1">
      <alignment horizontal="right"/>
    </xf>
    <xf numFmtId="43" fontId="52" fillId="24" borderId="4" xfId="135" applyFont="1" applyFill="1" applyBorder="1" applyAlignment="1">
      <alignment horizontal="right" vertical="center"/>
    </xf>
    <xf numFmtId="43" fontId="52" fillId="24" borderId="9" xfId="135" applyFont="1" applyFill="1" applyBorder="1" applyAlignment="1">
      <alignment horizontal="right"/>
    </xf>
    <xf numFmtId="43" fontId="52" fillId="20" borderId="9" xfId="135" applyFont="1" applyFill="1" applyBorder="1" applyAlignment="1">
      <alignment horizontal="right"/>
    </xf>
    <xf numFmtId="0" fontId="34" fillId="17" borderId="3" xfId="0" applyFont="1" applyFill="1" applyBorder="1" applyAlignment="1">
      <alignment horizontal="left"/>
    </xf>
    <xf numFmtId="0" fontId="52" fillId="17" borderId="4" xfId="0" applyFont="1" applyFill="1" applyBorder="1"/>
    <xf numFmtId="0" fontId="52" fillId="17" borderId="3" xfId="0" applyFont="1" applyFill="1" applyBorder="1"/>
    <xf numFmtId="9" fontId="52" fillId="17" borderId="4" xfId="136" applyFont="1" applyFill="1" applyBorder="1" applyAlignment="1">
      <alignment horizontal="right"/>
    </xf>
    <xf numFmtId="0" fontId="52" fillId="17" borderId="5" xfId="2" applyFont="1" applyFill="1" applyBorder="1"/>
    <xf numFmtId="0" fontId="52" fillId="17" borderId="8" xfId="0" applyFont="1" applyFill="1" applyBorder="1"/>
    <xf numFmtId="182" fontId="52" fillId="17" borderId="9" xfId="2" applyNumberFormat="1" applyFont="1" applyFill="1" applyBorder="1" applyAlignment="1"/>
    <xf numFmtId="4" fontId="52" fillId="17" borderId="9" xfId="3" applyNumberFormat="1" applyFont="1" applyFill="1" applyBorder="1" applyAlignment="1">
      <alignment horizontal="right"/>
    </xf>
    <xf numFmtId="4" fontId="52" fillId="17" borderId="10" xfId="3" applyNumberFormat="1" applyFont="1" applyFill="1" applyBorder="1" applyAlignment="1"/>
    <xf numFmtId="0" fontId="52" fillId="24" borderId="3" xfId="0" applyFont="1" applyFill="1" applyBorder="1"/>
    <xf numFmtId="0" fontId="52" fillId="24" borderId="4" xfId="2" applyFont="1" applyFill="1" applyBorder="1"/>
    <xf numFmtId="0" fontId="52" fillId="24" borderId="5" xfId="2" applyFont="1" applyFill="1" applyBorder="1"/>
    <xf numFmtId="0" fontId="52" fillId="24" borderId="8" xfId="0" applyFont="1" applyFill="1" applyBorder="1"/>
    <xf numFmtId="182" fontId="52" fillId="24" borderId="9" xfId="0" applyNumberFormat="1" applyFont="1" applyFill="1" applyBorder="1" applyAlignment="1"/>
    <xf numFmtId="182" fontId="52" fillId="24" borderId="10" xfId="0" applyNumberFormat="1" applyFont="1" applyFill="1" applyBorder="1" applyAlignment="1"/>
    <xf numFmtId="0" fontId="52" fillId="20" borderId="6" xfId="0" applyFont="1" applyFill="1" applyBorder="1"/>
    <xf numFmtId="0" fontId="52" fillId="20" borderId="0" xfId="0" applyFont="1" applyFill="1" applyBorder="1" applyAlignment="1"/>
    <xf numFmtId="0" fontId="154" fillId="20" borderId="6" xfId="0" applyFont="1" applyFill="1" applyBorder="1"/>
    <xf numFmtId="0" fontId="52" fillId="20" borderId="7" xfId="0" applyFont="1" applyFill="1" applyBorder="1" applyAlignment="1"/>
    <xf numFmtId="0" fontId="52" fillId="20" borderId="7" xfId="2" applyFont="1" applyFill="1" applyBorder="1"/>
    <xf numFmtId="0" fontId="52" fillId="20" borderId="8" xfId="0" applyFont="1" applyFill="1" applyBorder="1"/>
    <xf numFmtId="0" fontId="52" fillId="20" borderId="9" xfId="0" applyFont="1" applyFill="1" applyBorder="1" applyAlignment="1"/>
    <xf numFmtId="186" fontId="52" fillId="20" borderId="10" xfId="3" applyNumberFormat="1" applyFont="1" applyFill="1" applyBorder="1" applyAlignment="1"/>
    <xf numFmtId="4" fontId="39" fillId="20" borderId="4" xfId="135" applyNumberFormat="1" applyFont="1" applyFill="1" applyBorder="1" applyAlignment="1">
      <alignment horizontal="right"/>
    </xf>
    <xf numFmtId="4" fontId="39" fillId="20" borderId="9" xfId="135" applyNumberFormat="1" applyFont="1" applyFill="1" applyBorder="1" applyAlignment="1">
      <alignment horizontal="right"/>
    </xf>
    <xf numFmtId="186" fontId="39" fillId="24" borderId="4" xfId="135" applyNumberFormat="1" applyFont="1" applyFill="1" applyBorder="1" applyAlignment="1">
      <alignment horizontal="right" vertical="center"/>
    </xf>
    <xf numFmtId="43" fontId="48" fillId="25" borderId="97" xfId="135" applyFont="1" applyFill="1" applyBorder="1"/>
    <xf numFmtId="186" fontId="52" fillId="20" borderId="0" xfId="135" applyNumberFormat="1" applyFont="1" applyFill="1" applyBorder="1" applyAlignment="1">
      <alignment horizontal="right"/>
    </xf>
    <xf numFmtId="192" fontId="48" fillId="25" borderId="0" xfId="135" applyNumberFormat="1" applyFont="1" applyFill="1" applyAlignment="1">
      <alignment horizontal="center" vertical="center"/>
    </xf>
    <xf numFmtId="4" fontId="39" fillId="20" borderId="0" xfId="135" applyNumberFormat="1" applyFont="1" applyFill="1" applyBorder="1" applyAlignment="1">
      <alignment horizontal="right"/>
    </xf>
    <xf numFmtId="43" fontId="38" fillId="5" borderId="0" xfId="0" applyNumberFormat="1" applyFont="1" applyFill="1" applyBorder="1"/>
    <xf numFmtId="43" fontId="0" fillId="5" borderId="0" xfId="0" applyNumberFormat="1" applyFill="1"/>
    <xf numFmtId="186" fontId="52" fillId="20" borderId="9" xfId="135" applyNumberFormat="1" applyFont="1" applyFill="1" applyBorder="1" applyAlignment="1">
      <alignment horizontal="right"/>
    </xf>
    <xf numFmtId="0" fontId="41" fillId="0" borderId="11" xfId="0" applyFont="1" applyBorder="1" applyAlignment="1">
      <alignment horizontal="left" vertical="center" wrapText="1"/>
    </xf>
    <xf numFmtId="0" fontId="41" fillId="5" borderId="0" xfId="0" applyFont="1" applyFill="1"/>
    <xf numFmtId="0" fontId="41" fillId="5" borderId="0" xfId="0" applyFont="1" applyFill="1" applyAlignment="1">
      <alignment horizontal="center" vertical="center"/>
    </xf>
    <xf numFmtId="0" fontId="41" fillId="5" borderId="0" xfId="0" applyFont="1" applyFill="1" applyAlignment="1">
      <alignment horizontal="left" vertical="center"/>
    </xf>
    <xf numFmtId="0" fontId="41" fillId="5" borderId="0" xfId="0" applyFont="1" applyFill="1" applyBorder="1"/>
    <xf numFmtId="0" fontId="41" fillId="0" borderId="0" xfId="0" applyFont="1" applyFill="1" applyAlignment="1">
      <alignment horizontal="center" vertical="center"/>
    </xf>
    <xf numFmtId="0" fontId="41" fillId="0" borderId="0" xfId="0" applyFont="1" applyFill="1" applyAlignment="1">
      <alignment horizontal="left" vertical="center"/>
    </xf>
    <xf numFmtId="2" fontId="49" fillId="25" borderId="0" xfId="0" applyNumberFormat="1" applyFont="1" applyFill="1" applyBorder="1" applyAlignment="1">
      <alignment horizontal="center"/>
    </xf>
    <xf numFmtId="0" fontId="0" fillId="0" borderId="0" xfId="0" applyFont="1"/>
    <xf numFmtId="0" fontId="34" fillId="17" borderId="3" xfId="0" applyFont="1" applyFill="1" applyBorder="1"/>
    <xf numFmtId="3" fontId="52" fillId="17" borderId="4" xfId="0" applyNumberFormat="1" applyFont="1" applyFill="1" applyBorder="1" applyAlignment="1">
      <alignment horizontal="right"/>
    </xf>
    <xf numFmtId="0" fontId="52" fillId="17" borderId="5" xfId="0" applyFont="1" applyFill="1" applyBorder="1" applyAlignment="1">
      <alignment wrapText="1"/>
    </xf>
    <xf numFmtId="0" fontId="52" fillId="17" borderId="5" xfId="0" applyFont="1" applyFill="1" applyBorder="1"/>
    <xf numFmtId="43" fontId="34" fillId="17" borderId="4" xfId="135" applyFont="1" applyFill="1" applyBorder="1"/>
    <xf numFmtId="0" fontId="52" fillId="17" borderId="5" xfId="0" applyFont="1" applyFill="1" applyBorder="1" applyAlignment="1"/>
    <xf numFmtId="0" fontId="34" fillId="17" borderId="4" xfId="0" applyFont="1" applyFill="1" applyBorder="1"/>
    <xf numFmtId="0" fontId="34" fillId="17" borderId="5" xfId="0" applyFont="1" applyFill="1" applyBorder="1"/>
    <xf numFmtId="0" fontId="52" fillId="17" borderId="6" xfId="0" applyFont="1" applyFill="1" applyBorder="1"/>
    <xf numFmtId="4" fontId="52" fillId="17" borderId="0" xfId="2" applyNumberFormat="1" applyFont="1" applyFill="1" applyBorder="1" applyAlignment="1">
      <alignment horizontal="right"/>
    </xf>
    <xf numFmtId="0" fontId="52" fillId="17" borderId="7" xfId="0" applyFont="1" applyFill="1" applyBorder="1"/>
    <xf numFmtId="0" fontId="52" fillId="17" borderId="0" xfId="0" applyFont="1" applyFill="1" applyBorder="1"/>
    <xf numFmtId="0" fontId="34" fillId="17" borderId="6" xfId="0" applyFont="1" applyFill="1" applyBorder="1"/>
    <xf numFmtId="43" fontId="34" fillId="17" borderId="0" xfId="135" applyFont="1" applyFill="1" applyBorder="1"/>
    <xf numFmtId="0" fontId="52" fillId="17" borderId="7" xfId="0" applyFont="1" applyFill="1" applyBorder="1" applyAlignment="1"/>
    <xf numFmtId="0" fontId="34" fillId="17" borderId="0" xfId="0" applyFont="1" applyFill="1" applyBorder="1"/>
    <xf numFmtId="182" fontId="34" fillId="17" borderId="7" xfId="0" applyNumberFormat="1" applyFont="1" applyFill="1" applyBorder="1" applyAlignment="1"/>
    <xf numFmtId="0" fontId="52" fillId="17" borderId="9" xfId="0" applyFont="1" applyFill="1" applyBorder="1"/>
    <xf numFmtId="0" fontId="52" fillId="17" borderId="10" xfId="0" applyFont="1" applyFill="1" applyBorder="1"/>
    <xf numFmtId="2" fontId="52" fillId="17" borderId="9" xfId="3" applyNumberFormat="1" applyFont="1" applyFill="1" applyBorder="1" applyAlignment="1"/>
    <xf numFmtId="2" fontId="52" fillId="17" borderId="10" xfId="3" applyNumberFormat="1" applyFont="1" applyFill="1" applyBorder="1" applyAlignment="1"/>
    <xf numFmtId="4" fontId="52" fillId="24" borderId="4" xfId="2" applyNumberFormat="1" applyFont="1" applyFill="1" applyBorder="1" applyAlignment="1">
      <alignment horizontal="right"/>
    </xf>
    <xf numFmtId="4" fontId="52" fillId="24" borderId="3" xfId="0" applyNumberFormat="1" applyFont="1" applyFill="1" applyBorder="1" applyAlignment="1">
      <alignment horizontal="right"/>
    </xf>
    <xf numFmtId="4" fontId="52" fillId="24" borderId="4" xfId="0" applyNumberFormat="1" applyFont="1" applyFill="1" applyBorder="1" applyAlignment="1">
      <alignment horizontal="right"/>
    </xf>
    <xf numFmtId="4" fontId="52" fillId="24" borderId="5" xfId="0" applyNumberFormat="1" applyFont="1" applyFill="1" applyBorder="1" applyAlignment="1">
      <alignment horizontal="right"/>
    </xf>
    <xf numFmtId="0" fontId="34" fillId="24" borderId="3" xfId="0" applyFont="1" applyFill="1" applyBorder="1"/>
    <xf numFmtId="43" fontId="52" fillId="24" borderId="4" xfId="135" applyFont="1" applyFill="1" applyBorder="1" applyAlignment="1"/>
    <xf numFmtId="43" fontId="86" fillId="24" borderId="5" xfId="135" applyFont="1" applyFill="1" applyBorder="1" applyAlignment="1"/>
    <xf numFmtId="10" fontId="52" fillId="24" borderId="4" xfId="0" applyNumberFormat="1" applyFont="1" applyFill="1" applyBorder="1" applyAlignment="1"/>
    <xf numFmtId="0" fontId="52" fillId="24" borderId="5" xfId="0" applyFont="1" applyFill="1" applyBorder="1"/>
    <xf numFmtId="0" fontId="34" fillId="28" borderId="3" xfId="0" applyFont="1" applyFill="1" applyBorder="1"/>
    <xf numFmtId="0" fontId="52" fillId="28" borderId="4" xfId="0" applyFont="1" applyFill="1" applyBorder="1"/>
    <xf numFmtId="43" fontId="34" fillId="28" borderId="4" xfId="135" applyFont="1" applyFill="1" applyBorder="1"/>
    <xf numFmtId="0" fontId="52" fillId="28" borderId="5" xfId="0" applyFont="1" applyFill="1" applyBorder="1"/>
    <xf numFmtId="0" fontId="52" fillId="24" borderId="6" xfId="0" applyFont="1" applyFill="1" applyBorder="1" applyAlignment="1"/>
    <xf numFmtId="4" fontId="52" fillId="24" borderId="0" xfId="0" applyNumberFormat="1" applyFont="1" applyFill="1" applyBorder="1" applyAlignment="1">
      <alignment horizontal="right"/>
    </xf>
    <xf numFmtId="0" fontId="52" fillId="24" borderId="7" xfId="0" applyFont="1" applyFill="1" applyBorder="1" applyAlignment="1"/>
    <xf numFmtId="4" fontId="52" fillId="24" borderId="6" xfId="0" applyNumberFormat="1" applyFont="1" applyFill="1" applyBorder="1" applyAlignment="1">
      <alignment horizontal="right"/>
    </xf>
    <xf numFmtId="4" fontId="52" fillId="24" borderId="7" xfId="0" applyNumberFormat="1" applyFont="1" applyFill="1" applyBorder="1" applyAlignment="1">
      <alignment horizontal="right"/>
    </xf>
    <xf numFmtId="0" fontId="34" fillId="24" borderId="6" xfId="0" applyFont="1" applyFill="1" applyBorder="1"/>
    <xf numFmtId="4" fontId="34" fillId="24" borderId="0" xfId="3" applyNumberFormat="1" applyFont="1" applyFill="1" applyBorder="1" applyAlignment="1"/>
    <xf numFmtId="4" fontId="34" fillId="24" borderId="7" xfId="3" applyNumberFormat="1" applyFont="1" applyFill="1" applyBorder="1" applyAlignment="1"/>
    <xf numFmtId="0" fontId="52" fillId="24" borderId="6" xfId="0" applyFont="1" applyFill="1" applyBorder="1"/>
    <xf numFmtId="44" fontId="52" fillId="24" borderId="0" xfId="3" applyFont="1" applyFill="1" applyBorder="1" applyAlignment="1"/>
    <xf numFmtId="44" fontId="52" fillId="24" borderId="7" xfId="3" applyFont="1" applyFill="1" applyBorder="1" applyAlignment="1"/>
    <xf numFmtId="0" fontId="34" fillId="28" borderId="6" xfId="0" applyFont="1" applyFill="1" applyBorder="1"/>
    <xf numFmtId="0" fontId="52" fillId="28" borderId="0" xfId="0" applyFont="1" applyFill="1" applyBorder="1"/>
    <xf numFmtId="43" fontId="34" fillId="28" borderId="0" xfId="135" applyFont="1" applyFill="1" applyBorder="1"/>
    <xf numFmtId="0" fontId="52" fillId="28" borderId="7" xfId="0" applyFont="1" applyFill="1" applyBorder="1"/>
    <xf numFmtId="0" fontId="34" fillId="28" borderId="0" xfId="0" applyFont="1" applyFill="1" applyBorder="1"/>
    <xf numFmtId="4" fontId="52" fillId="24" borderId="8" xfId="0" applyNumberFormat="1" applyFont="1" applyFill="1" applyBorder="1" applyAlignment="1">
      <alignment horizontal="right"/>
    </xf>
    <xf numFmtId="4" fontId="52" fillId="24" borderId="9" xfId="0" applyNumberFormat="1" applyFont="1" applyFill="1" applyBorder="1" applyAlignment="1">
      <alignment horizontal="right"/>
    </xf>
    <xf numFmtId="4" fontId="52" fillId="24" borderId="10" xfId="0" applyNumberFormat="1" applyFont="1" applyFill="1" applyBorder="1" applyAlignment="1">
      <alignment horizontal="right"/>
    </xf>
    <xf numFmtId="0" fontId="52" fillId="28" borderId="8" xfId="0" applyFont="1" applyFill="1" applyBorder="1"/>
    <xf numFmtId="181" fontId="52" fillId="28" borderId="10" xfId="0" applyNumberFormat="1" applyFont="1" applyFill="1" applyBorder="1" applyAlignment="1"/>
    <xf numFmtId="0" fontId="52" fillId="20" borderId="6" xfId="0" applyFont="1" applyFill="1" applyBorder="1" applyAlignment="1"/>
    <xf numFmtId="0" fontId="52" fillId="20" borderId="0" xfId="0" applyFont="1" applyFill="1" applyBorder="1" applyAlignment="1">
      <alignment horizontal="right"/>
    </xf>
    <xf numFmtId="0" fontId="52" fillId="20" borderId="6" xfId="0" applyFont="1" applyFill="1" applyBorder="1" applyAlignment="1">
      <alignment horizontal="left"/>
    </xf>
    <xf numFmtId="4" fontId="52" fillId="20" borderId="0" xfId="2" applyNumberFormat="1" applyFont="1" applyFill="1" applyBorder="1" applyAlignment="1">
      <alignment horizontal="right"/>
    </xf>
    <xf numFmtId="4" fontId="52" fillId="20" borderId="0" xfId="2" applyNumberFormat="1" applyFont="1" applyFill="1" applyBorder="1" applyAlignment="1"/>
    <xf numFmtId="4" fontId="52" fillId="20" borderId="6" xfId="2" applyNumberFormat="1" applyFont="1" applyFill="1" applyBorder="1" applyAlignment="1"/>
    <xf numFmtId="4" fontId="52" fillId="20" borderId="7" xfId="2" applyNumberFormat="1" applyFont="1" applyFill="1" applyBorder="1" applyAlignment="1"/>
    <xf numFmtId="0" fontId="52" fillId="20" borderId="8" xfId="0" applyFont="1" applyFill="1" applyBorder="1" applyAlignment="1"/>
    <xf numFmtId="3" fontId="52" fillId="20" borderId="9" xfId="0" applyNumberFormat="1" applyFont="1" applyFill="1" applyBorder="1" applyAlignment="1">
      <alignment horizontal="right"/>
    </xf>
    <xf numFmtId="0" fontId="52" fillId="20" borderId="10" xfId="0" applyFont="1" applyFill="1" applyBorder="1" applyAlignment="1"/>
    <xf numFmtId="186" fontId="52" fillId="20" borderId="9" xfId="3" applyNumberFormat="1" applyFont="1" applyFill="1" applyBorder="1" applyAlignment="1">
      <alignment horizontal="right"/>
    </xf>
    <xf numFmtId="44" fontId="52" fillId="20" borderId="10" xfId="3" applyFont="1" applyFill="1" applyBorder="1" applyAlignment="1"/>
    <xf numFmtId="4" fontId="52" fillId="20" borderId="9" xfId="2" applyNumberFormat="1" applyFont="1" applyFill="1" applyBorder="1" applyAlignment="1"/>
    <xf numFmtId="4" fontId="52" fillId="20" borderId="8" xfId="2" applyNumberFormat="1" applyFont="1" applyFill="1" applyBorder="1" applyAlignment="1"/>
    <xf numFmtId="4" fontId="52" fillId="20" borderId="10" xfId="2" applyNumberFormat="1" applyFont="1" applyFill="1" applyBorder="1" applyAlignment="1"/>
    <xf numFmtId="0" fontId="52" fillId="24" borderId="4" xfId="0" applyFont="1" applyFill="1" applyBorder="1" applyAlignment="1">
      <alignment horizontal="left"/>
    </xf>
    <xf numFmtId="0" fontId="52" fillId="24" borderId="0" xfId="0" applyFont="1" applyFill="1" applyBorder="1" applyAlignment="1">
      <alignment horizontal="left"/>
    </xf>
    <xf numFmtId="186" fontId="52" fillId="24" borderId="0" xfId="3" applyNumberFormat="1" applyFont="1" applyFill="1" applyBorder="1" applyAlignment="1">
      <alignment horizontal="right"/>
    </xf>
    <xf numFmtId="186" fontId="52" fillId="24" borderId="9" xfId="3" applyNumberFormat="1" applyFont="1" applyFill="1" applyBorder="1" applyAlignment="1">
      <alignment horizontal="right"/>
    </xf>
    <xf numFmtId="190" fontId="52" fillId="20" borderId="9" xfId="3" applyNumberFormat="1" applyFont="1" applyFill="1" applyBorder="1" applyAlignment="1">
      <alignment horizontal="right"/>
    </xf>
    <xf numFmtId="2" fontId="48" fillId="25" borderId="14" xfId="0" applyNumberFormat="1" applyFont="1" applyFill="1" applyBorder="1" applyAlignment="1">
      <alignment horizontal="center"/>
    </xf>
    <xf numFmtId="4" fontId="38" fillId="25" borderId="14" xfId="0" applyNumberFormat="1" applyFont="1" applyFill="1" applyBorder="1" applyAlignment="1">
      <alignment horizontal="center" wrapText="1"/>
    </xf>
    <xf numFmtId="3" fontId="39" fillId="20" borderId="4" xfId="0" applyNumberFormat="1" applyFont="1" applyFill="1" applyBorder="1" applyAlignment="1">
      <alignment horizontal="right"/>
    </xf>
    <xf numFmtId="0" fontId="157" fillId="20" borderId="0" xfId="0" applyFont="1" applyFill="1" applyAlignment="1">
      <alignment horizontal="center" vertical="center"/>
    </xf>
    <xf numFmtId="186" fontId="39" fillId="20" borderId="9" xfId="3" applyNumberFormat="1" applyFont="1" applyFill="1" applyBorder="1" applyAlignment="1"/>
    <xf numFmtId="0" fontId="33" fillId="5" borderId="0" xfId="0" applyFont="1" applyFill="1" applyBorder="1" applyAlignment="1">
      <alignment horizontal="left" wrapText="1"/>
    </xf>
    <xf numFmtId="0" fontId="52" fillId="0" borderId="0" xfId="0" applyFont="1" applyFill="1" applyBorder="1" applyAlignment="1"/>
    <xf numFmtId="0" fontId="33" fillId="0" borderId="0" xfId="0" applyFont="1" applyBorder="1" applyAlignment="1">
      <alignment wrapText="1"/>
    </xf>
    <xf numFmtId="4" fontId="38" fillId="25" borderId="97" xfId="0" applyNumberFormat="1" applyFont="1" applyFill="1" applyBorder="1" applyAlignment="1">
      <alignment horizontal="center" wrapText="1"/>
    </xf>
    <xf numFmtId="0" fontId="33" fillId="0" borderId="0" xfId="0" applyFont="1" applyBorder="1" applyAlignment="1">
      <alignment horizontal="left" wrapText="1"/>
    </xf>
    <xf numFmtId="0" fontId="52" fillId="0" borderId="0" xfId="0" applyFont="1" applyFill="1" applyBorder="1" applyAlignment="1">
      <alignment horizontal="right"/>
    </xf>
    <xf numFmtId="0" fontId="33" fillId="0" borderId="0" xfId="0" applyFont="1" applyBorder="1" applyAlignment="1">
      <alignment horizontal="center" wrapText="1"/>
    </xf>
    <xf numFmtId="0" fontId="0" fillId="0" borderId="0" xfId="0" applyFill="1" applyBorder="1"/>
    <xf numFmtId="0" fontId="0" fillId="5" borderId="0" xfId="0" applyFill="1" applyBorder="1"/>
    <xf numFmtId="0" fontId="0" fillId="5" borderId="0" xfId="0" applyFill="1" applyBorder="1" applyAlignment="1">
      <alignment horizontal="center"/>
    </xf>
    <xf numFmtId="0" fontId="33" fillId="5" borderId="0" xfId="0" applyFont="1" applyFill="1" applyBorder="1" applyAlignment="1">
      <alignment horizontal="center"/>
    </xf>
    <xf numFmtId="0" fontId="38" fillId="5" borderId="14" xfId="0" applyFont="1" applyFill="1" applyBorder="1" applyAlignment="1">
      <alignment horizontal="center"/>
    </xf>
    <xf numFmtId="0" fontId="49" fillId="0" borderId="0" xfId="0" applyFont="1" applyBorder="1" applyAlignment="1">
      <alignment horizontal="left" vertical="center"/>
    </xf>
    <xf numFmtId="0" fontId="0" fillId="0" borderId="0" xfId="0" applyProtection="1">
      <protection locked="0"/>
    </xf>
    <xf numFmtId="0" fontId="57" fillId="0" borderId="0" xfId="0" applyFont="1" applyProtection="1">
      <protection locked="0"/>
    </xf>
    <xf numFmtId="0" fontId="104" fillId="0" borderId="0" xfId="0" applyFont="1" applyAlignment="1" applyProtection="1">
      <alignment horizontal="right"/>
      <protection locked="0"/>
    </xf>
    <xf numFmtId="0" fontId="153" fillId="0" borderId="0" xfId="138" applyFont="1" applyProtection="1">
      <protection locked="0"/>
    </xf>
    <xf numFmtId="0" fontId="55" fillId="0" borderId="0" xfId="0" applyFont="1" applyAlignment="1" applyProtection="1">
      <alignment horizontal="left" vertical="center" indent="7"/>
      <protection locked="0"/>
    </xf>
    <xf numFmtId="0" fontId="105" fillId="0" borderId="0" xfId="0" applyFont="1" applyAlignment="1" applyProtection="1">
      <alignment horizontal="right"/>
      <protection locked="0"/>
    </xf>
    <xf numFmtId="0" fontId="152" fillId="0" borderId="0" xfId="0" applyFont="1" applyProtection="1">
      <protection locked="0"/>
    </xf>
    <xf numFmtId="0" fontId="81" fillId="0" borderId="0" xfId="138"/>
    <xf numFmtId="49" fontId="33" fillId="0" borderId="0" xfId="0" applyNumberFormat="1" applyFont="1" applyAlignment="1">
      <alignment vertical="top" wrapText="1"/>
    </xf>
    <xf numFmtId="0" fontId="42" fillId="0" borderId="0" xfId="0" applyFont="1" applyFill="1" applyBorder="1" applyAlignment="1"/>
    <xf numFmtId="0" fontId="42" fillId="0" borderId="30" xfId="0" applyFont="1" applyFill="1" applyBorder="1" applyAlignment="1">
      <alignment horizontal="center"/>
    </xf>
    <xf numFmtId="0" fontId="42" fillId="0" borderId="0" xfId="0" applyFont="1" applyFill="1" applyBorder="1" applyAlignment="1">
      <alignment horizontal="center"/>
    </xf>
    <xf numFmtId="0" fontId="42" fillId="0" borderId="23" xfId="0" applyFont="1" applyFill="1" applyBorder="1" applyAlignment="1">
      <alignment horizontal="center"/>
    </xf>
    <xf numFmtId="0" fontId="42" fillId="0" borderId="0" xfId="0" applyFont="1" applyFill="1" applyAlignment="1">
      <alignment horizontal="center" vertical="top"/>
    </xf>
    <xf numFmtId="0" fontId="95" fillId="0" borderId="71" xfId="94" applyFont="1" applyBorder="1" applyAlignment="1">
      <alignment horizontal="center"/>
    </xf>
    <xf numFmtId="0" fontId="38" fillId="0" borderId="62" xfId="0" applyFont="1" applyFill="1" applyBorder="1" applyAlignment="1">
      <alignment horizontal="center"/>
    </xf>
    <xf numFmtId="0" fontId="38" fillId="0" borderId="14" xfId="0" applyFont="1" applyFill="1" applyBorder="1" applyAlignment="1">
      <alignment horizontal="center" vertical="center"/>
    </xf>
    <xf numFmtId="0" fontId="38" fillId="0" borderId="57" xfId="94" applyFont="1" applyFill="1" applyBorder="1" applyAlignment="1">
      <alignment horizontal="center" vertical="center"/>
    </xf>
    <xf numFmtId="0" fontId="38" fillId="0" borderId="14" xfId="94" applyFont="1" applyFill="1" applyBorder="1" applyAlignment="1">
      <alignment horizontal="center" vertical="center"/>
    </xf>
    <xf numFmtId="0" fontId="95" fillId="0" borderId="14" xfId="94" applyFont="1" applyBorder="1" applyAlignment="1">
      <alignment horizontal="center"/>
    </xf>
    <xf numFmtId="0" fontId="38" fillId="0" borderId="62" xfId="94" applyFont="1" applyFill="1" applyBorder="1" applyAlignment="1">
      <alignment horizontal="center" vertical="center"/>
    </xf>
    <xf numFmtId="0" fontId="38" fillId="0" borderId="0" xfId="94" applyFont="1" applyFill="1" applyBorder="1" applyAlignment="1">
      <alignment horizontal="center" vertical="center"/>
    </xf>
    <xf numFmtId="0" fontId="64" fillId="0" borderId="4" xfId="0" applyFont="1" applyFill="1" applyBorder="1" applyAlignment="1">
      <alignment horizontal="center"/>
    </xf>
    <xf numFmtId="0" fontId="90" fillId="0" borderId="4" xfId="0" applyFont="1" applyFill="1" applyBorder="1" applyAlignment="1">
      <alignment horizontal="center" vertical="center"/>
    </xf>
    <xf numFmtId="0" fontId="95" fillId="0" borderId="57" xfId="94" applyFont="1" applyBorder="1" applyAlignment="1">
      <alignment horizontal="center"/>
    </xf>
    <xf numFmtId="0" fontId="38" fillId="0" borderId="14" xfId="2" applyFont="1" applyFill="1" applyBorder="1" applyAlignment="1">
      <alignment horizontal="center"/>
    </xf>
    <xf numFmtId="0" fontId="33" fillId="0" borderId="14" xfId="0" applyFont="1" applyBorder="1" applyAlignment="1">
      <alignment horizontal="center" vertical="center"/>
    </xf>
    <xf numFmtId="0" fontId="38" fillId="0" borderId="9" xfId="0" applyFont="1" applyFill="1" applyBorder="1" applyAlignment="1">
      <alignment horizontal="center"/>
    </xf>
    <xf numFmtId="4" fontId="39" fillId="0" borderId="0" xfId="2" applyNumberFormat="1" applyFont="1" applyFill="1" applyBorder="1" applyAlignment="1">
      <alignment horizontal="right"/>
    </xf>
    <xf numFmtId="182" fontId="39" fillId="0" borderId="0" xfId="2" applyNumberFormat="1" applyFont="1" applyFill="1" applyBorder="1" applyAlignment="1"/>
    <xf numFmtId="4" fontId="52" fillId="0" borderId="0" xfId="135" applyNumberFormat="1" applyFont="1" applyFill="1" applyBorder="1" applyAlignment="1">
      <alignment horizontal="right"/>
    </xf>
    <xf numFmtId="182" fontId="52" fillId="0" borderId="0" xfId="2" applyNumberFormat="1" applyFont="1" applyFill="1" applyBorder="1" applyAlignment="1"/>
    <xf numFmtId="0" fontId="64" fillId="0" borderId="0" xfId="0" applyFont="1" applyFill="1" applyBorder="1" applyAlignment="1">
      <alignment horizontal="center"/>
    </xf>
    <xf numFmtId="0" fontId="38" fillId="0" borderId="97" xfId="0" applyFont="1" applyFill="1" applyBorder="1" applyAlignment="1">
      <alignment horizontal="center"/>
    </xf>
    <xf numFmtId="0" fontId="38" fillId="25" borderId="97" xfId="0" applyFont="1" applyFill="1" applyBorder="1" applyAlignment="1">
      <alignment horizontal="center"/>
    </xf>
    <xf numFmtId="0" fontId="38" fillId="0" borderId="71" xfId="0" applyFont="1" applyFill="1" applyBorder="1" applyAlignment="1">
      <alignment horizontal="center"/>
    </xf>
    <xf numFmtId="0" fontId="38" fillId="5" borderId="62" xfId="0" applyFont="1" applyFill="1" applyBorder="1" applyAlignment="1">
      <alignment horizontal="center"/>
    </xf>
    <xf numFmtId="0" fontId="38" fillId="5" borderId="0" xfId="0" applyFont="1" applyFill="1" applyAlignment="1">
      <alignment horizontal="center"/>
    </xf>
    <xf numFmtId="0" fontId="38" fillId="5" borderId="14" xfId="0" applyFont="1" applyFill="1" applyBorder="1" applyAlignment="1">
      <alignment horizontal="center" vertical="center"/>
    </xf>
    <xf numFmtId="0" fontId="38" fillId="5" borderId="71" xfId="0" applyFont="1" applyFill="1" applyBorder="1" applyAlignment="1">
      <alignment horizontal="center"/>
    </xf>
    <xf numFmtId="0" fontId="95" fillId="5" borderId="80" xfId="0" applyFont="1" applyFill="1" applyBorder="1" applyAlignment="1">
      <alignment horizontal="center"/>
    </xf>
    <xf numFmtId="0" fontId="38" fillId="25" borderId="18" xfId="0" applyFont="1" applyFill="1" applyBorder="1" applyAlignment="1">
      <alignment horizontal="center"/>
    </xf>
    <xf numFmtId="0" fontId="38" fillId="5" borderId="7" xfId="0" applyFont="1" applyFill="1" applyBorder="1" applyAlignment="1">
      <alignment horizontal="center"/>
    </xf>
    <xf numFmtId="0" fontId="95" fillId="25" borderId="18" xfId="0" applyFont="1" applyFill="1" applyBorder="1" applyAlignment="1">
      <alignment horizontal="center"/>
    </xf>
    <xf numFmtId="0" fontId="95" fillId="25" borderId="18" xfId="0" applyFont="1" applyFill="1" applyBorder="1" applyAlignment="1">
      <alignment horizontal="center" wrapText="1"/>
    </xf>
    <xf numFmtId="0" fontId="64" fillId="0" borderId="5" xfId="0" applyFont="1" applyFill="1" applyBorder="1" applyAlignment="1">
      <alignment horizontal="center"/>
    </xf>
    <xf numFmtId="4" fontId="39" fillId="0" borderId="0" xfId="135" applyNumberFormat="1" applyFont="1" applyFill="1" applyBorder="1" applyAlignment="1">
      <alignment horizontal="right"/>
    </xf>
    <xf numFmtId="186" fontId="39" fillId="0" borderId="0" xfId="3" applyNumberFormat="1" applyFont="1" applyFill="1" applyBorder="1" applyAlignment="1"/>
    <xf numFmtId="0" fontId="119" fillId="0" borderId="46" xfId="0" applyFont="1" applyBorder="1" applyAlignment="1">
      <alignment horizontal="center"/>
    </xf>
    <xf numFmtId="0" fontId="39" fillId="0" borderId="0" xfId="0" applyFont="1" applyFill="1" applyBorder="1" applyAlignment="1">
      <alignment vertical="center"/>
    </xf>
    <xf numFmtId="43" fontId="39" fillId="0" borderId="0" xfId="135" applyFont="1" applyFill="1" applyBorder="1" applyAlignment="1">
      <alignment horizontal="right" vertical="center"/>
    </xf>
    <xf numFmtId="182" fontId="39" fillId="0" borderId="0" xfId="2" applyNumberFormat="1" applyFont="1" applyFill="1" applyBorder="1" applyAlignment="1">
      <alignment vertical="center"/>
    </xf>
    <xf numFmtId="182" fontId="39" fillId="0" borderId="0" xfId="0" applyNumberFormat="1" applyFont="1" applyFill="1" applyBorder="1" applyAlignment="1"/>
    <xf numFmtId="0" fontId="38" fillId="0" borderId="14" xfId="0" applyFont="1" applyFill="1" applyBorder="1" applyAlignment="1">
      <alignment horizontal="center" wrapText="1"/>
    </xf>
    <xf numFmtId="3" fontId="141" fillId="25" borderId="18" xfId="0" applyNumberFormat="1" applyFont="1" applyFill="1" applyBorder="1" applyAlignment="1">
      <alignment horizontal="center"/>
    </xf>
    <xf numFmtId="0" fontId="124" fillId="0" borderId="7" xfId="138" applyFont="1" applyBorder="1" applyAlignment="1">
      <alignment horizontal="center" wrapText="1"/>
    </xf>
    <xf numFmtId="0" fontId="38" fillId="0" borderId="18" xfId="0" applyFont="1" applyFill="1" applyBorder="1" applyAlignment="1">
      <alignment horizontal="center"/>
    </xf>
    <xf numFmtId="0" fontId="0" fillId="5" borderId="0" xfId="0" applyFont="1" applyFill="1"/>
    <xf numFmtId="0" fontId="0" fillId="5" borderId="23" xfId="0" applyFont="1" applyFill="1" applyBorder="1"/>
    <xf numFmtId="0" fontId="0" fillId="5" borderId="0" xfId="0" applyFont="1" applyFill="1" applyAlignment="1">
      <alignment horizontal="center"/>
    </xf>
    <xf numFmtId="0" fontId="38" fillId="5" borderId="5" xfId="0" applyFont="1" applyFill="1" applyBorder="1" applyAlignment="1">
      <alignment horizontal="center"/>
    </xf>
    <xf numFmtId="0" fontId="38" fillId="5" borderId="71" xfId="0" applyFont="1" applyFill="1" applyBorder="1" applyAlignment="1">
      <alignment horizontal="center" vertical="center"/>
    </xf>
    <xf numFmtId="0" fontId="0" fillId="0" borderId="0" xfId="0" applyFont="1" applyFill="1" applyBorder="1"/>
    <xf numFmtId="0" fontId="70" fillId="0" borderId="0" xfId="0" applyFont="1" applyFill="1" applyBorder="1"/>
    <xf numFmtId="0" fontId="70" fillId="5" borderId="9" xfId="0" applyFont="1" applyFill="1" applyBorder="1"/>
    <xf numFmtId="0" fontId="47" fillId="0" borderId="9" xfId="0" applyFont="1" applyFill="1" applyBorder="1"/>
    <xf numFmtId="176" fontId="98" fillId="0" borderId="0" xfId="18" applyNumberFormat="1" applyFont="1" applyFill="1" applyBorder="1" applyAlignment="1">
      <alignment horizontal="center" wrapText="1"/>
    </xf>
    <xf numFmtId="0" fontId="95" fillId="0" borderId="25" xfId="94" applyFont="1" applyBorder="1"/>
    <xf numFmtId="0" fontId="103" fillId="5" borderId="25" xfId="94" applyFont="1" applyFill="1" applyBorder="1"/>
    <xf numFmtId="0" fontId="103" fillId="0" borderId="25" xfId="94" applyFont="1" applyBorder="1" applyAlignment="1">
      <alignment horizontal="right"/>
    </xf>
    <xf numFmtId="0" fontId="95" fillId="5" borderId="25" xfId="94" applyFont="1" applyFill="1" applyBorder="1"/>
    <xf numFmtId="0" fontId="38" fillId="5" borderId="97" xfId="0" applyFont="1" applyFill="1" applyBorder="1" applyAlignment="1">
      <alignment horizontal="center"/>
    </xf>
    <xf numFmtId="0" fontId="48" fillId="25" borderId="62" xfId="0" applyFont="1" applyFill="1" applyBorder="1" applyAlignment="1" applyProtection="1">
      <alignment horizontal="center"/>
      <protection locked="0"/>
    </xf>
    <xf numFmtId="0" fontId="38" fillId="0" borderId="97" xfId="0" applyFont="1" applyBorder="1" applyAlignment="1">
      <alignment horizontal="center"/>
    </xf>
    <xf numFmtId="0" fontId="38" fillId="0" borderId="14" xfId="0" applyFont="1" applyBorder="1" applyAlignment="1">
      <alignment horizontal="center"/>
    </xf>
    <xf numFmtId="0" fontId="38" fillId="5" borderId="9" xfId="0" applyFont="1" applyFill="1" applyBorder="1" applyAlignment="1">
      <alignment horizontal="center"/>
    </xf>
    <xf numFmtId="0" fontId="38" fillId="25" borderId="18" xfId="0" applyFont="1" applyFill="1" applyBorder="1" applyAlignment="1" applyProtection="1">
      <alignment horizontal="center"/>
      <protection locked="0"/>
    </xf>
    <xf numFmtId="3" fontId="84" fillId="25" borderId="18" xfId="0" applyNumberFormat="1" applyFont="1" applyFill="1" applyBorder="1" applyAlignment="1" applyProtection="1">
      <alignment horizontal="center"/>
      <protection locked="0"/>
    </xf>
    <xf numFmtId="0" fontId="95" fillId="0" borderId="10" xfId="0" applyFont="1" applyFill="1" applyBorder="1" applyAlignment="1" applyProtection="1">
      <alignment horizontal="center"/>
      <protection locked="0"/>
    </xf>
    <xf numFmtId="0" fontId="33" fillId="5" borderId="97" xfId="0" applyFont="1" applyFill="1" applyBorder="1" applyAlignment="1">
      <alignment horizontal="center"/>
    </xf>
    <xf numFmtId="0" fontId="33" fillId="5" borderId="14" xfId="0" applyFont="1" applyFill="1" applyBorder="1" applyAlignment="1">
      <alignment horizontal="center"/>
    </xf>
    <xf numFmtId="0" fontId="33" fillId="5" borderId="5" xfId="0" applyFont="1" applyFill="1" applyBorder="1" applyAlignment="1">
      <alignment horizontal="center"/>
    </xf>
    <xf numFmtId="0" fontId="0" fillId="25" borderId="97" xfId="0" applyFill="1" applyBorder="1" applyAlignment="1">
      <alignment horizontal="center"/>
    </xf>
    <xf numFmtId="0" fontId="33" fillId="0" borderId="7" xfId="0" applyFont="1" applyBorder="1" applyAlignment="1">
      <alignment horizontal="center" wrapText="1"/>
    </xf>
    <xf numFmtId="0" fontId="33" fillId="25" borderId="0" xfId="0" applyFont="1" applyFill="1" applyBorder="1" applyAlignment="1">
      <alignment horizontal="center"/>
    </xf>
    <xf numFmtId="0" fontId="33" fillId="25" borderId="7" xfId="0" applyFont="1" applyFill="1" applyBorder="1" applyAlignment="1">
      <alignment horizontal="center"/>
    </xf>
    <xf numFmtId="0" fontId="0" fillId="5" borderId="94" xfId="0" applyFill="1" applyBorder="1" applyAlignment="1">
      <alignment horizontal="center"/>
    </xf>
    <xf numFmtId="0" fontId="0" fillId="5" borderId="14" xfId="0" applyFill="1" applyBorder="1" applyAlignment="1">
      <alignment horizontal="center"/>
    </xf>
    <xf numFmtId="0" fontId="38" fillId="5" borderId="94" xfId="0" applyFont="1" applyFill="1" applyBorder="1" applyAlignment="1">
      <alignment horizontal="center"/>
    </xf>
    <xf numFmtId="0" fontId="0" fillId="5" borderId="71" xfId="0" applyFill="1" applyBorder="1" applyAlignment="1">
      <alignment horizontal="center"/>
    </xf>
    <xf numFmtId="0" fontId="33" fillId="5" borderId="94" xfId="0" applyFont="1" applyFill="1" applyBorder="1" applyAlignment="1">
      <alignment horizontal="center"/>
    </xf>
    <xf numFmtId="0" fontId="0" fillId="5" borderId="97" xfId="0" applyFill="1" applyBorder="1" applyAlignment="1">
      <alignment horizontal="center"/>
    </xf>
    <xf numFmtId="0" fontId="0" fillId="5" borderId="7" xfId="0" applyFill="1" applyBorder="1" applyAlignment="1">
      <alignment horizontal="center"/>
    </xf>
    <xf numFmtId="0" fontId="0" fillId="0" borderId="0" xfId="0" applyBorder="1" applyAlignment="1">
      <alignment horizontal="center"/>
    </xf>
    <xf numFmtId="0" fontId="33" fillId="25" borderId="14" xfId="0" applyFont="1" applyFill="1" applyBorder="1" applyAlignment="1">
      <alignment horizontal="center" vertical="center"/>
    </xf>
    <xf numFmtId="0" fontId="33" fillId="25" borderId="62" xfId="0" applyFont="1" applyFill="1" applyBorder="1" applyAlignment="1">
      <alignment horizontal="center" vertical="center"/>
    </xf>
    <xf numFmtId="0" fontId="38" fillId="0" borderId="0" xfId="0" applyFont="1" applyBorder="1" applyAlignment="1">
      <alignment horizontal="center" vertical="center"/>
    </xf>
    <xf numFmtId="0" fontId="0" fillId="0" borderId="57" xfId="0" applyBorder="1" applyAlignment="1">
      <alignment horizontal="center"/>
    </xf>
    <xf numFmtId="0" fontId="49" fillId="25" borderId="14" xfId="0" applyFont="1" applyFill="1" applyBorder="1" applyAlignment="1">
      <alignment horizontal="center" vertical="center"/>
    </xf>
    <xf numFmtId="0" fontId="0" fillId="0" borderId="7" xfId="0" applyBorder="1" applyAlignment="1">
      <alignment horizontal="center"/>
    </xf>
    <xf numFmtId="0" fontId="33" fillId="0" borderId="73" xfId="0" applyFont="1" applyBorder="1" applyAlignment="1">
      <alignment horizontal="center" wrapText="1"/>
    </xf>
    <xf numFmtId="0" fontId="33" fillId="5" borderId="9" xfId="0" applyFont="1" applyFill="1" applyBorder="1" applyAlignment="1">
      <alignment horizontal="center" vertical="center"/>
    </xf>
    <xf numFmtId="0" fontId="39" fillId="0" borderId="57" xfId="0" applyFont="1" applyFill="1" applyBorder="1"/>
    <xf numFmtId="3" fontId="47" fillId="0" borderId="57" xfId="0" applyNumberFormat="1" applyFont="1" applyFill="1" applyBorder="1" applyAlignment="1">
      <alignment horizontal="center"/>
    </xf>
    <xf numFmtId="0" fontId="47" fillId="0" borderId="57" xfId="0" applyFont="1" applyFill="1" applyBorder="1" applyAlignment="1">
      <alignment horizontal="center"/>
    </xf>
    <xf numFmtId="0" fontId="47" fillId="0" borderId="57" xfId="0" applyFont="1" applyFill="1" applyBorder="1"/>
    <xf numFmtId="0" fontId="47" fillId="0" borderId="108" xfId="0" applyFont="1" applyFill="1" applyBorder="1"/>
    <xf numFmtId="0" fontId="47" fillId="0" borderId="109" xfId="0" applyFont="1" applyFill="1" applyBorder="1"/>
    <xf numFmtId="0" fontId="119" fillId="0" borderId="109" xfId="0" applyFont="1" applyBorder="1" applyAlignment="1">
      <alignment horizontal="center"/>
    </xf>
    <xf numFmtId="0" fontId="52" fillId="5" borderId="57" xfId="0" applyFont="1" applyFill="1" applyBorder="1" applyAlignment="1"/>
    <xf numFmtId="4" fontId="39" fillId="0" borderId="57" xfId="135" applyNumberFormat="1" applyFont="1" applyFill="1" applyBorder="1" applyAlignment="1">
      <alignment horizontal="right"/>
    </xf>
    <xf numFmtId="186" fontId="39" fillId="0" borderId="57" xfId="3" applyNumberFormat="1" applyFont="1" applyFill="1" applyBorder="1" applyAlignment="1"/>
    <xf numFmtId="0" fontId="119" fillId="0" borderId="108" xfId="0" applyFont="1" applyBorder="1" applyAlignment="1">
      <alignment horizontal="center"/>
    </xf>
    <xf numFmtId="0" fontId="52" fillId="0" borderId="57" xfId="0" applyFont="1" applyFill="1" applyBorder="1" applyAlignment="1"/>
    <xf numFmtId="0" fontId="119" fillId="0" borderId="57" xfId="0" applyFont="1" applyBorder="1" applyAlignment="1">
      <alignment horizontal="center"/>
    </xf>
    <xf numFmtId="0" fontId="119" fillId="0" borderId="110" xfId="0" applyFont="1" applyBorder="1" applyAlignment="1">
      <alignment horizontal="center"/>
    </xf>
    <xf numFmtId="2" fontId="38" fillId="0" borderId="0" xfId="0" applyNumberFormat="1" applyFont="1" applyFill="1" applyBorder="1" applyAlignment="1">
      <alignment horizontal="center"/>
    </xf>
    <xf numFmtId="0" fontId="0" fillId="0" borderId="109" xfId="0" applyBorder="1"/>
    <xf numFmtId="0" fontId="0" fillId="0" borderId="57" xfId="0" applyBorder="1"/>
    <xf numFmtId="4" fontId="48" fillId="25" borderId="57" xfId="0" applyNumberFormat="1" applyFont="1" applyFill="1" applyBorder="1" applyAlignment="1">
      <alignment horizontal="center" vertical="center"/>
    </xf>
    <xf numFmtId="0" fontId="0" fillId="0" borderId="108" xfId="0" applyBorder="1"/>
    <xf numFmtId="44" fontId="0" fillId="0" borderId="0" xfId="0" applyNumberFormat="1" applyFill="1" applyBorder="1" applyAlignment="1">
      <alignment horizontal="center"/>
    </xf>
    <xf numFmtId="0" fontId="33" fillId="0" borderId="109" xfId="0" applyFont="1" applyBorder="1"/>
    <xf numFmtId="0" fontId="33" fillId="0" borderId="108" xfId="0" applyFont="1" applyBorder="1"/>
    <xf numFmtId="0" fontId="41" fillId="0" borderId="0" xfId="0" applyFont="1" applyFill="1" applyAlignment="1"/>
    <xf numFmtId="0" fontId="0" fillId="5" borderId="109" xfId="0" applyFill="1" applyBorder="1"/>
    <xf numFmtId="0" fontId="0" fillId="5" borderId="57" xfId="0" applyFill="1" applyBorder="1"/>
    <xf numFmtId="0" fontId="0" fillId="0" borderId="57" xfId="0" applyFill="1" applyBorder="1"/>
    <xf numFmtId="0" fontId="0" fillId="5" borderId="108" xfId="0" applyFill="1" applyBorder="1"/>
    <xf numFmtId="0" fontId="135" fillId="5" borderId="105" xfId="0" applyFont="1" applyFill="1" applyBorder="1"/>
    <xf numFmtId="0" fontId="135" fillId="0" borderId="107" xfId="0" applyFont="1" applyFill="1" applyBorder="1"/>
    <xf numFmtId="0" fontId="38" fillId="5" borderId="57" xfId="0" applyFont="1" applyFill="1" applyBorder="1" applyAlignment="1">
      <alignment horizontal="center"/>
    </xf>
    <xf numFmtId="0" fontId="33" fillId="25" borderId="57" xfId="0" applyFont="1" applyFill="1" applyBorder="1"/>
    <xf numFmtId="0" fontId="33" fillId="25" borderId="73" xfId="0" applyFont="1" applyFill="1" applyBorder="1"/>
    <xf numFmtId="0" fontId="40" fillId="5" borderId="57" xfId="0" applyFont="1" applyFill="1" applyBorder="1" applyAlignment="1">
      <alignment horizontal="center" vertical="center"/>
    </xf>
    <xf numFmtId="0" fontId="40" fillId="0" borderId="109" xfId="0" applyFont="1" applyBorder="1" applyAlignment="1">
      <alignment horizontal="center"/>
    </xf>
    <xf numFmtId="0" fontId="40" fillId="0" borderId="57" xfId="0" applyFont="1" applyBorder="1" applyAlignment="1">
      <alignment horizontal="center"/>
    </xf>
    <xf numFmtId="0" fontId="40" fillId="0" borderId="108" xfId="0" applyFont="1" applyBorder="1" applyAlignment="1">
      <alignment horizontal="center"/>
    </xf>
    <xf numFmtId="0" fontId="93" fillId="5" borderId="57" xfId="0" applyFont="1" applyFill="1" applyBorder="1" applyAlignment="1"/>
    <xf numFmtId="0" fontId="93" fillId="5" borderId="108" xfId="0" applyFont="1" applyFill="1" applyBorder="1" applyAlignment="1"/>
    <xf numFmtId="0" fontId="93" fillId="5" borderId="109" xfId="0" applyFont="1" applyFill="1" applyBorder="1" applyAlignment="1"/>
    <xf numFmtId="0" fontId="47" fillId="5" borderId="109" xfId="0" applyFont="1" applyFill="1" applyBorder="1"/>
    <xf numFmtId="0" fontId="47" fillId="5" borderId="57" xfId="0" applyFont="1" applyFill="1" applyBorder="1"/>
    <xf numFmtId="0" fontId="39" fillId="0" borderId="57" xfId="0" applyFont="1" applyBorder="1"/>
    <xf numFmtId="0" fontId="47" fillId="5" borderId="108" xfId="0" applyFont="1" applyFill="1" applyBorder="1"/>
    <xf numFmtId="0" fontId="52" fillId="20" borderId="0" xfId="0" applyFont="1" applyFill="1" applyBorder="1" applyAlignment="1">
      <alignment horizontal="left"/>
    </xf>
    <xf numFmtId="0" fontId="52" fillId="24" borderId="3" xfId="0" applyFont="1" applyFill="1" applyBorder="1" applyAlignment="1"/>
    <xf numFmtId="0" fontId="52" fillId="24" borderId="4" xfId="0" applyFont="1" applyFill="1" applyBorder="1" applyAlignment="1"/>
    <xf numFmtId="186" fontId="52" fillId="17" borderId="4" xfId="135" applyNumberFormat="1" applyFont="1" applyFill="1" applyBorder="1" applyAlignment="1">
      <alignment horizontal="right"/>
    </xf>
    <xf numFmtId="186" fontId="52" fillId="17" borderId="0" xfId="135" applyNumberFormat="1" applyFont="1" applyFill="1" applyBorder="1" applyAlignment="1">
      <alignment horizontal="right"/>
    </xf>
    <xf numFmtId="0" fontId="34" fillId="24" borderId="4" xfId="0" applyFont="1" applyFill="1" applyBorder="1"/>
    <xf numFmtId="0" fontId="34" fillId="24" borderId="0" xfId="0" applyFont="1" applyFill="1" applyBorder="1"/>
    <xf numFmtId="182" fontId="52" fillId="24" borderId="7" xfId="0" applyNumberFormat="1" applyFont="1" applyFill="1" applyBorder="1" applyAlignment="1"/>
    <xf numFmtId="43" fontId="52" fillId="20" borderId="0" xfId="135" applyFont="1" applyFill="1" applyBorder="1" applyAlignment="1">
      <alignment horizontal="right"/>
    </xf>
    <xf numFmtId="0" fontId="150" fillId="0" borderId="0" xfId="0" applyFont="1" applyFill="1" applyAlignment="1">
      <alignment horizontal="center" vertical="center"/>
    </xf>
    <xf numFmtId="49" fontId="33" fillId="0" borderId="0" xfId="0" applyNumberFormat="1" applyFont="1" applyAlignment="1">
      <alignment horizontal="center" vertical="top" wrapText="1"/>
    </xf>
    <xf numFmtId="49" fontId="81" fillId="0" borderId="0" xfId="138" applyNumberFormat="1" applyAlignment="1" applyProtection="1">
      <alignment horizontal="center" vertical="top" wrapText="1"/>
      <protection locked="0"/>
    </xf>
    <xf numFmtId="49" fontId="33" fillId="0" borderId="0" xfId="0" applyNumberFormat="1" applyFont="1" applyAlignment="1" applyProtection="1">
      <alignment horizontal="center" vertical="top" wrapText="1"/>
      <protection locked="0"/>
    </xf>
    <xf numFmtId="0" fontId="38" fillId="0" borderId="0" xfId="0" applyFont="1" applyAlignment="1">
      <alignment horizontal="left" vertical="center" wrapText="1"/>
    </xf>
    <xf numFmtId="0" fontId="84" fillId="0" borderId="0" xfId="0" applyFont="1" applyAlignment="1">
      <alignment horizontal="left" vertical="center" wrapText="1"/>
    </xf>
    <xf numFmtId="0" fontId="33" fillId="0" borderId="0" xfId="0" applyFont="1" applyAlignment="1">
      <alignment horizontal="left" vertical="top"/>
    </xf>
    <xf numFmtId="0" fontId="0" fillId="0" borderId="0" xfId="0" applyAlignment="1">
      <alignment horizontal="center"/>
    </xf>
    <xf numFmtId="0" fontId="33" fillId="0" borderId="0" xfId="0" applyFont="1" applyAlignment="1">
      <alignment horizontal="left" vertical="top" wrapText="1"/>
    </xf>
    <xf numFmtId="0" fontId="38" fillId="0" borderId="0" xfId="0" applyFont="1" applyAlignment="1">
      <alignment horizontal="left" vertical="top" wrapText="1"/>
    </xf>
    <xf numFmtId="0" fontId="54" fillId="0" borderId="30" xfId="0" applyFont="1" applyBorder="1" applyAlignment="1">
      <alignment horizontal="left"/>
    </xf>
    <xf numFmtId="0" fontId="54" fillId="0" borderId="0" xfId="0" applyFont="1" applyBorder="1" applyAlignment="1">
      <alignment horizontal="left"/>
    </xf>
    <xf numFmtId="0" fontId="54" fillId="0" borderId="23" xfId="0" applyFont="1" applyBorder="1" applyAlignment="1">
      <alignment horizontal="left"/>
    </xf>
    <xf numFmtId="0" fontId="42" fillId="18" borderId="29" xfId="0" applyFont="1" applyFill="1" applyBorder="1" applyAlignment="1">
      <alignment horizontal="center"/>
    </xf>
    <xf numFmtId="0" fontId="42" fillId="18" borderId="25" xfId="0" applyFont="1" applyFill="1" applyBorder="1" applyAlignment="1">
      <alignment horizontal="center"/>
    </xf>
    <xf numFmtId="0" fontId="42" fillId="18" borderId="22" xfId="0" applyFont="1" applyFill="1" applyBorder="1" applyAlignment="1">
      <alignment horizontal="center"/>
    </xf>
    <xf numFmtId="0" fontId="48" fillId="25" borderId="12" xfId="0" applyFont="1" applyFill="1" applyBorder="1" applyAlignment="1">
      <alignment horizontal="left" vertical="center" wrapText="1"/>
    </xf>
    <xf numFmtId="0" fontId="48" fillId="25" borderId="14" xfId="0" applyFont="1" applyFill="1" applyBorder="1" applyAlignment="1">
      <alignment horizontal="left" vertical="center" wrapText="1"/>
    </xf>
    <xf numFmtId="0" fontId="48" fillId="25" borderId="52" xfId="0" applyFont="1" applyFill="1" applyBorder="1" applyAlignment="1">
      <alignment horizontal="left" vertical="center" wrapText="1"/>
    </xf>
    <xf numFmtId="0" fontId="36" fillId="25" borderId="11" xfId="0" applyFont="1" applyFill="1" applyBorder="1" applyAlignment="1">
      <alignment horizontal="center"/>
    </xf>
    <xf numFmtId="0" fontId="119" fillId="0" borderId="105" xfId="0" applyFont="1" applyBorder="1" applyAlignment="1">
      <alignment horizontal="center"/>
    </xf>
    <xf numFmtId="0" fontId="119" fillId="0" borderId="106" xfId="0" applyFont="1" applyBorder="1" applyAlignment="1">
      <alignment horizontal="center"/>
    </xf>
    <xf numFmtId="0" fontId="119" fillId="0" borderId="107" xfId="0" applyFont="1" applyBorder="1" applyAlignment="1">
      <alignment horizontal="center"/>
    </xf>
    <xf numFmtId="0" fontId="42" fillId="22" borderId="28" xfId="0" applyFont="1" applyFill="1" applyBorder="1" applyAlignment="1">
      <alignment horizontal="center"/>
    </xf>
    <xf numFmtId="0" fontId="42" fillId="22" borderId="21" xfId="0" applyFont="1" applyFill="1" applyBorder="1" applyAlignment="1">
      <alignment horizontal="center"/>
    </xf>
    <xf numFmtId="0" fontId="42" fillId="22" borderId="24" xfId="0" applyFont="1" applyFill="1" applyBorder="1" applyAlignment="1">
      <alignment horizontal="center"/>
    </xf>
    <xf numFmtId="0" fontId="119" fillId="0" borderId="105" xfId="0" applyFont="1" applyFill="1" applyBorder="1" applyAlignment="1">
      <alignment horizontal="center"/>
    </xf>
    <xf numFmtId="0" fontId="119" fillId="0" borderId="106" xfId="0" applyFont="1" applyFill="1" applyBorder="1" applyAlignment="1">
      <alignment horizontal="center"/>
    </xf>
    <xf numFmtId="0" fontId="119" fillId="0" borderId="107" xfId="0" applyFont="1" applyFill="1" applyBorder="1" applyAlignment="1">
      <alignment horizontal="center"/>
    </xf>
    <xf numFmtId="0" fontId="58" fillId="0" borderId="6" xfId="0" applyFont="1" applyFill="1" applyBorder="1" applyAlignment="1"/>
    <xf numFmtId="0" fontId="58" fillId="0" borderId="0" xfId="0" applyFont="1" applyFill="1" applyBorder="1" applyAlignment="1"/>
    <xf numFmtId="0" fontId="33" fillId="5" borderId="0" xfId="0" applyFont="1" applyFill="1" applyBorder="1" applyAlignment="1">
      <alignment horizontal="left" wrapText="1"/>
    </xf>
    <xf numFmtId="0" fontId="52" fillId="0" borderId="0" xfId="0" applyFont="1" applyFill="1" applyBorder="1" applyAlignment="1"/>
    <xf numFmtId="0" fontId="39" fillId="0" borderId="9" xfId="0" applyFont="1" applyFill="1" applyBorder="1" applyAlignment="1">
      <alignment horizontal="left"/>
    </xf>
    <xf numFmtId="0" fontId="39" fillId="0" borderId="0" xfId="0" applyFont="1" applyFill="1" applyBorder="1" applyAlignment="1">
      <alignment horizontal="left"/>
    </xf>
    <xf numFmtId="0" fontId="52" fillId="0" borderId="31" xfId="0" applyFont="1" applyFill="1" applyBorder="1" applyAlignment="1">
      <alignment horizontal="center" vertical="center"/>
    </xf>
    <xf numFmtId="0" fontId="52" fillId="0" borderId="35" xfId="0" applyFont="1" applyFill="1" applyBorder="1" applyAlignment="1">
      <alignment horizontal="center" vertical="center"/>
    </xf>
    <xf numFmtId="0" fontId="52" fillId="0" borderId="32" xfId="0" applyFont="1" applyFill="1" applyBorder="1" applyAlignment="1">
      <alignment horizontal="center" vertical="center"/>
    </xf>
    <xf numFmtId="0" fontId="52" fillId="0" borderId="14" xfId="0" applyFont="1" applyFill="1" applyBorder="1" applyAlignment="1">
      <alignment horizontal="center" vertical="center"/>
    </xf>
    <xf numFmtId="0" fontId="52" fillId="17" borderId="35" xfId="0" applyFont="1" applyFill="1" applyBorder="1" applyAlignment="1">
      <alignment horizontal="center"/>
    </xf>
    <xf numFmtId="0" fontId="52" fillId="24" borderId="35" xfId="0" applyFont="1" applyFill="1" applyBorder="1" applyAlignment="1">
      <alignment horizontal="center"/>
    </xf>
    <xf numFmtId="0" fontId="52" fillId="20" borderId="35" xfId="0" applyFont="1" applyFill="1" applyBorder="1" applyAlignment="1">
      <alignment horizontal="center"/>
    </xf>
    <xf numFmtId="0" fontId="52" fillId="20" borderId="17" xfId="0" applyFont="1" applyFill="1" applyBorder="1" applyAlignment="1">
      <alignment horizontal="center"/>
    </xf>
    <xf numFmtId="0" fontId="119" fillId="0" borderId="30" xfId="0" applyFont="1" applyBorder="1" applyAlignment="1">
      <alignment horizontal="center"/>
    </xf>
    <xf numFmtId="0" fontId="119" fillId="0" borderId="0" xfId="0" applyFont="1" applyBorder="1" applyAlignment="1">
      <alignment horizontal="center"/>
    </xf>
    <xf numFmtId="0" fontId="119" fillId="0" borderId="23" xfId="0" applyFont="1" applyBorder="1" applyAlignment="1">
      <alignment horizontal="center"/>
    </xf>
    <xf numFmtId="3" fontId="141" fillId="25" borderId="13" xfId="0" applyNumberFormat="1" applyFont="1" applyFill="1" applyBorder="1" applyAlignment="1">
      <alignment horizontal="center" wrapText="1"/>
    </xf>
    <xf numFmtId="3" fontId="141" fillId="25" borderId="11" xfId="0" applyNumberFormat="1" applyFont="1" applyFill="1" applyBorder="1" applyAlignment="1">
      <alignment horizontal="center" wrapText="1"/>
    </xf>
    <xf numFmtId="3" fontId="141" fillId="25" borderId="39" xfId="0" applyNumberFormat="1" applyFont="1" applyFill="1" applyBorder="1" applyAlignment="1">
      <alignment horizontal="center" wrapText="1"/>
    </xf>
    <xf numFmtId="3" fontId="141" fillId="25" borderId="40" xfId="0" applyNumberFormat="1" applyFont="1" applyFill="1" applyBorder="1" applyAlignment="1">
      <alignment horizontal="center" wrapText="1"/>
    </xf>
    <xf numFmtId="3" fontId="38" fillId="25" borderId="13" xfId="0" applyNumberFormat="1" applyFont="1" applyFill="1" applyBorder="1" applyAlignment="1">
      <alignment horizontal="center" wrapText="1"/>
    </xf>
    <xf numFmtId="3" fontId="38" fillId="25" borderId="11" xfId="0" applyNumberFormat="1" applyFont="1" applyFill="1" applyBorder="1" applyAlignment="1">
      <alignment horizontal="center" wrapText="1"/>
    </xf>
    <xf numFmtId="3" fontId="38" fillId="25" borderId="39" xfId="0" applyNumberFormat="1" applyFont="1" applyFill="1" applyBorder="1" applyAlignment="1">
      <alignment horizontal="center" wrapText="1"/>
    </xf>
    <xf numFmtId="3" fontId="38" fillId="25" borderId="40" xfId="0" applyNumberFormat="1" applyFont="1" applyFill="1" applyBorder="1" applyAlignment="1">
      <alignment horizontal="center" wrapText="1"/>
    </xf>
    <xf numFmtId="3" fontId="48" fillId="25" borderId="13" xfId="0" applyNumberFormat="1" applyFont="1" applyFill="1" applyBorder="1" applyAlignment="1">
      <alignment horizontal="center" wrapText="1"/>
    </xf>
    <xf numFmtId="3" fontId="48" fillId="25" borderId="11" xfId="0" applyNumberFormat="1" applyFont="1" applyFill="1" applyBorder="1" applyAlignment="1">
      <alignment horizontal="center" wrapText="1"/>
    </xf>
    <xf numFmtId="0" fontId="42" fillId="22" borderId="30" xfId="0" applyFont="1" applyFill="1" applyBorder="1" applyAlignment="1">
      <alignment horizontal="center"/>
    </xf>
    <xf numFmtId="0" fontId="42" fillId="22" borderId="0" xfId="0" applyFont="1" applyFill="1" applyBorder="1" applyAlignment="1">
      <alignment horizontal="center"/>
    </xf>
    <xf numFmtId="0" fontId="106" fillId="0" borderId="6" xfId="0" applyFont="1" applyBorder="1" applyAlignment="1">
      <alignment horizontal="left" wrapText="1"/>
    </xf>
    <xf numFmtId="0" fontId="106" fillId="0" borderId="0" xfId="0" applyFont="1" applyBorder="1" applyAlignment="1">
      <alignment horizontal="left" wrapText="1"/>
    </xf>
    <xf numFmtId="0" fontId="38" fillId="5" borderId="6" xfId="0" applyFont="1" applyFill="1" applyBorder="1" applyAlignment="1">
      <alignment horizontal="left" vertical="center"/>
    </xf>
    <xf numFmtId="0" fontId="38" fillId="5" borderId="0" xfId="0" applyFont="1" applyFill="1" applyBorder="1" applyAlignment="1">
      <alignment horizontal="left" vertical="center"/>
    </xf>
    <xf numFmtId="0" fontId="48" fillId="0" borderId="6" xfId="0" applyFont="1" applyBorder="1" applyAlignment="1">
      <alignment horizontal="left" wrapText="1"/>
    </xf>
    <xf numFmtId="0" fontId="48" fillId="0" borderId="0" xfId="0" applyFont="1" applyBorder="1" applyAlignment="1">
      <alignment horizontal="left" wrapText="1"/>
    </xf>
    <xf numFmtId="0" fontId="38" fillId="5" borderId="6" xfId="0" applyFont="1" applyFill="1" applyBorder="1" applyAlignment="1">
      <alignment horizontal="right" vertical="center" wrapText="1"/>
    </xf>
    <xf numFmtId="0" fontId="38" fillId="5" borderId="0" xfId="0" applyFont="1" applyFill="1" applyBorder="1" applyAlignment="1">
      <alignment horizontal="right" vertical="center" wrapText="1"/>
    </xf>
    <xf numFmtId="0" fontId="45" fillId="24" borderId="36" xfId="0" applyFont="1" applyFill="1" applyBorder="1" applyAlignment="1">
      <alignment horizontal="center"/>
    </xf>
    <xf numFmtId="0" fontId="39" fillId="17" borderId="36" xfId="0" applyFont="1" applyFill="1" applyBorder="1" applyAlignment="1">
      <alignment horizontal="center"/>
    </xf>
    <xf numFmtId="0" fontId="38" fillId="5" borderId="0" xfId="0" applyFont="1" applyFill="1" applyBorder="1" applyAlignment="1">
      <alignment horizontal="left" wrapText="1"/>
    </xf>
    <xf numFmtId="0" fontId="39" fillId="0" borderId="3" xfId="0" applyFont="1" applyFill="1" applyBorder="1" applyAlignment="1">
      <alignment horizontal="center" vertical="center"/>
    </xf>
    <xf numFmtId="0" fontId="39" fillId="0" borderId="103" xfId="0" applyFont="1" applyFill="1" applyBorder="1" applyAlignment="1">
      <alignment horizontal="center" vertical="center"/>
    </xf>
    <xf numFmtId="0" fontId="39" fillId="0" borderId="81" xfId="0" applyFont="1" applyFill="1" applyBorder="1" applyAlignment="1">
      <alignment horizontal="center" vertical="center"/>
    </xf>
    <xf numFmtId="0" fontId="39" fillId="0" borderId="63" xfId="0" applyFont="1" applyFill="1" applyBorder="1" applyAlignment="1">
      <alignment horizontal="center" vertical="center"/>
    </xf>
    <xf numFmtId="0" fontId="39" fillId="5" borderId="9" xfId="0" applyFont="1" applyFill="1" applyBorder="1" applyAlignment="1">
      <alignment horizontal="left"/>
    </xf>
    <xf numFmtId="0" fontId="45" fillId="20" borderId="36" xfId="0" applyFont="1" applyFill="1" applyBorder="1" applyAlignment="1">
      <alignment horizontal="center"/>
    </xf>
    <xf numFmtId="0" fontId="45" fillId="20" borderId="37" xfId="0" applyFont="1" applyFill="1" applyBorder="1" applyAlignment="1">
      <alignment horizontal="center"/>
    </xf>
    <xf numFmtId="0" fontId="119" fillId="0" borderId="30" xfId="0" applyFont="1" applyFill="1" applyBorder="1" applyAlignment="1">
      <alignment horizontal="center"/>
    </xf>
    <xf numFmtId="0" fontId="119" fillId="0" borderId="0" xfId="0" applyFont="1" applyFill="1" applyBorder="1" applyAlignment="1">
      <alignment horizontal="center"/>
    </xf>
    <xf numFmtId="0" fontId="119" fillId="0" borderId="23" xfId="0" applyFont="1" applyFill="1" applyBorder="1" applyAlignment="1">
      <alignment horizontal="center"/>
    </xf>
    <xf numFmtId="0" fontId="42" fillId="26" borderId="9" xfId="0" applyFont="1" applyFill="1" applyBorder="1" applyAlignment="1">
      <alignment horizontal="center"/>
    </xf>
    <xf numFmtId="0" fontId="42" fillId="26" borderId="82" xfId="0" applyFont="1" applyFill="1" applyBorder="1" applyAlignment="1">
      <alignment horizontal="center"/>
    </xf>
    <xf numFmtId="0" fontId="12" fillId="29" borderId="0" xfId="0" applyFont="1" applyFill="1" applyBorder="1" applyAlignment="1" applyProtection="1">
      <alignment horizontal="left" vertical="center" wrapText="1"/>
    </xf>
    <xf numFmtId="3" fontId="38" fillId="25" borderId="32" xfId="0" applyNumberFormat="1" applyFont="1" applyFill="1" applyBorder="1" applyAlignment="1">
      <alignment horizontal="center" vertical="center" wrapText="1"/>
    </xf>
    <xf numFmtId="3" fontId="38" fillId="25" borderId="14" xfId="0" applyNumberFormat="1" applyFont="1" applyFill="1" applyBorder="1" applyAlignment="1">
      <alignment horizontal="center" vertical="center" wrapText="1"/>
    </xf>
    <xf numFmtId="0" fontId="45" fillId="17" borderId="36" xfId="0" applyFont="1" applyFill="1" applyBorder="1" applyAlignment="1">
      <alignment horizontal="center" vertical="center"/>
    </xf>
    <xf numFmtId="0" fontId="39" fillId="24" borderId="36" xfId="0" applyFont="1" applyFill="1" applyBorder="1" applyAlignment="1">
      <alignment horizontal="center" vertical="center"/>
    </xf>
    <xf numFmtId="0" fontId="39" fillId="19" borderId="36" xfId="0" applyFont="1" applyFill="1" applyBorder="1" applyAlignment="1">
      <alignment horizontal="center" vertical="center"/>
    </xf>
    <xf numFmtId="0" fontId="39" fillId="19" borderId="37" xfId="0" applyFont="1" applyFill="1" applyBorder="1" applyAlignment="1">
      <alignment horizontal="center" vertical="center"/>
    </xf>
    <xf numFmtId="0" fontId="39" fillId="0" borderId="4" xfId="0" applyFont="1" applyFill="1" applyBorder="1" applyAlignment="1">
      <alignment horizontal="center" vertical="center"/>
    </xf>
    <xf numFmtId="0" fontId="39" fillId="0" borderId="62" xfId="0" applyFont="1" applyFill="1" applyBorder="1" applyAlignment="1">
      <alignment horizontal="center" vertical="center"/>
    </xf>
    <xf numFmtId="0" fontId="49" fillId="0" borderId="6" xfId="0" applyFont="1" applyBorder="1" applyAlignment="1"/>
    <xf numFmtId="0" fontId="49" fillId="0" borderId="0" xfId="0" applyFont="1" applyBorder="1" applyAlignment="1"/>
    <xf numFmtId="3" fontId="48" fillId="25" borderId="32" xfId="0" applyNumberFormat="1" applyFont="1" applyFill="1" applyBorder="1" applyAlignment="1">
      <alignment horizontal="center" vertical="center" wrapText="1"/>
    </xf>
    <xf numFmtId="3" fontId="48" fillId="25" borderId="14" xfId="0" applyNumberFormat="1" applyFont="1" applyFill="1" applyBorder="1" applyAlignment="1">
      <alignment horizontal="center" vertical="center" wrapText="1"/>
    </xf>
    <xf numFmtId="0" fontId="38" fillId="0" borderId="6" xfId="0" applyFont="1" applyFill="1" applyBorder="1" applyAlignment="1">
      <alignment vertical="center"/>
    </xf>
    <xf numFmtId="0" fontId="38" fillId="0" borderId="0" xfId="0" applyFont="1" applyFill="1" applyBorder="1" applyAlignment="1">
      <alignment vertical="center"/>
    </xf>
    <xf numFmtId="0" fontId="38" fillId="0" borderId="6" xfId="0" applyFont="1" applyFill="1" applyBorder="1" applyAlignment="1"/>
    <xf numFmtId="0" fontId="38" fillId="0" borderId="0" xfId="0" applyFont="1" applyFill="1" applyBorder="1" applyAlignment="1"/>
    <xf numFmtId="0" fontId="33" fillId="0" borderId="6" xfId="0" applyFont="1" applyBorder="1" applyAlignment="1">
      <alignment wrapText="1"/>
    </xf>
    <xf numFmtId="0" fontId="33" fillId="0" borderId="0" xfId="0" applyFont="1" applyBorder="1" applyAlignment="1">
      <alignment wrapText="1"/>
    </xf>
    <xf numFmtId="0" fontId="49" fillId="0" borderId="6" xfId="0" applyFont="1" applyBorder="1" applyAlignment="1">
      <alignment vertical="center"/>
    </xf>
    <xf numFmtId="0" fontId="49" fillId="0" borderId="0" xfId="0" applyFont="1" applyBorder="1" applyAlignment="1">
      <alignment vertical="center"/>
    </xf>
    <xf numFmtId="3" fontId="38" fillId="25" borderId="85" xfId="0" applyNumberFormat="1" applyFont="1" applyFill="1" applyBorder="1" applyAlignment="1">
      <alignment horizontal="center" vertical="center" wrapText="1"/>
    </xf>
    <xf numFmtId="3" fontId="38" fillId="25" borderId="71" xfId="0" applyNumberFormat="1" applyFont="1" applyFill="1" applyBorder="1" applyAlignment="1">
      <alignment horizontal="center" vertical="center" wrapText="1"/>
    </xf>
    <xf numFmtId="0" fontId="52" fillId="0" borderId="54" xfId="0" applyFont="1" applyFill="1" applyBorder="1" applyAlignment="1">
      <alignment horizontal="left"/>
    </xf>
    <xf numFmtId="0" fontId="49" fillId="0" borderId="8" xfId="0" applyFont="1" applyBorder="1" applyAlignment="1">
      <alignment wrapText="1"/>
    </xf>
    <xf numFmtId="0" fontId="49" fillId="0" borderId="9" xfId="0" applyFont="1" applyBorder="1" applyAlignment="1">
      <alignment wrapText="1"/>
    </xf>
    <xf numFmtId="0" fontId="52" fillId="0" borderId="43" xfId="0" applyFont="1" applyFill="1" applyBorder="1" applyAlignment="1">
      <alignment horizontal="left"/>
    </xf>
    <xf numFmtId="0" fontId="33" fillId="19" borderId="12" xfId="0" applyFont="1" applyFill="1" applyBorder="1" applyAlignment="1">
      <alignment horizontal="center" vertical="top"/>
    </xf>
    <xf numFmtId="0" fontId="33" fillId="19" borderId="14" xfId="0" applyFont="1" applyFill="1" applyBorder="1" applyAlignment="1">
      <alignment horizontal="center" vertical="top"/>
    </xf>
    <xf numFmtId="0" fontId="33" fillId="19" borderId="52" xfId="0" applyFont="1" applyFill="1" applyBorder="1" applyAlignment="1">
      <alignment horizontal="center" vertical="top"/>
    </xf>
    <xf numFmtId="0" fontId="33" fillId="19" borderId="12" xfId="0" applyFont="1" applyFill="1" applyBorder="1" applyAlignment="1">
      <alignment horizontal="center" vertical="center"/>
    </xf>
    <xf numFmtId="0" fontId="33" fillId="19" borderId="14" xfId="0" applyFont="1" applyFill="1" applyBorder="1" applyAlignment="1">
      <alignment horizontal="center" vertical="center"/>
    </xf>
    <xf numFmtId="0" fontId="33" fillId="19" borderId="52" xfId="0" applyFont="1" applyFill="1" applyBorder="1" applyAlignment="1">
      <alignment horizontal="center" vertical="center"/>
    </xf>
    <xf numFmtId="0" fontId="34" fillId="20" borderId="12" xfId="0" applyFont="1" applyFill="1" applyBorder="1" applyAlignment="1">
      <alignment horizontal="center" vertical="top" wrapText="1"/>
    </xf>
    <xf numFmtId="0" fontId="34" fillId="20" borderId="14" xfId="0" applyFont="1" applyFill="1" applyBorder="1" applyAlignment="1">
      <alignment horizontal="center" vertical="top" wrapText="1"/>
    </xf>
    <xf numFmtId="0" fontId="34" fillId="20" borderId="52" xfId="0" applyFont="1" applyFill="1" applyBorder="1" applyAlignment="1">
      <alignment horizontal="center" vertical="top" wrapText="1"/>
    </xf>
    <xf numFmtId="0" fontId="52" fillId="0" borderId="14" xfId="0" applyFont="1" applyBorder="1" applyAlignment="1">
      <alignment horizontal="center" vertical="top"/>
    </xf>
    <xf numFmtId="0" fontId="33" fillId="0" borderId="11" xfId="0" applyFont="1" applyBorder="1" applyAlignment="1">
      <alignment horizontal="left" vertical="top" wrapText="1"/>
    </xf>
    <xf numFmtId="0" fontId="41" fillId="21" borderId="11" xfId="0" applyFont="1" applyFill="1" applyBorder="1" applyAlignment="1">
      <alignment horizontal="center" vertical="center" wrapText="1"/>
    </xf>
    <xf numFmtId="0" fontId="42" fillId="22" borderId="0" xfId="0" applyFont="1" applyFill="1" applyAlignment="1">
      <alignment horizontal="center" vertical="top"/>
    </xf>
    <xf numFmtId="0" fontId="39" fillId="0" borderId="0" xfId="0" applyFont="1" applyFill="1" applyBorder="1" applyAlignment="1">
      <alignment horizontal="center"/>
    </xf>
    <xf numFmtId="0" fontId="41" fillId="21" borderId="59" xfId="0" applyFont="1" applyFill="1" applyBorder="1" applyAlignment="1">
      <alignment horizontal="center" vertical="center" wrapText="1"/>
    </xf>
    <xf numFmtId="0" fontId="41" fillId="21" borderId="99" xfId="0" applyFont="1" applyFill="1" applyBorder="1" applyAlignment="1">
      <alignment horizontal="center" vertical="center" wrapText="1"/>
    </xf>
    <xf numFmtId="0" fontId="38" fillId="5" borderId="6" xfId="0" applyFont="1" applyFill="1" applyBorder="1" applyAlignment="1">
      <alignment horizontal="left" wrapText="1"/>
    </xf>
    <xf numFmtId="0" fontId="33" fillId="0" borderId="6" xfId="0" applyFont="1" applyBorder="1" applyAlignment="1">
      <alignment horizontal="left" vertical="center"/>
    </xf>
    <xf numFmtId="0" fontId="49" fillId="0" borderId="0" xfId="0" applyFont="1" applyBorder="1" applyAlignment="1">
      <alignment horizontal="left" vertical="center"/>
    </xf>
    <xf numFmtId="0" fontId="49" fillId="0" borderId="6" xfId="0" applyFont="1" applyBorder="1" applyAlignment="1">
      <alignment horizontal="left" wrapText="1"/>
    </xf>
    <xf numFmtId="0" fontId="49" fillId="0" borderId="0" xfId="0" applyFont="1" applyBorder="1" applyAlignment="1">
      <alignment horizontal="left" wrapText="1"/>
    </xf>
    <xf numFmtId="0" fontId="125" fillId="5" borderId="14" xfId="138" applyFont="1" applyFill="1" applyBorder="1" applyAlignment="1">
      <alignment horizontal="center" vertical="center" wrapText="1"/>
    </xf>
    <xf numFmtId="0" fontId="125" fillId="5" borderId="18" xfId="138" applyFont="1" applyFill="1" applyBorder="1" applyAlignment="1">
      <alignment horizontal="center" vertical="center" wrapText="1"/>
    </xf>
    <xf numFmtId="4" fontId="38" fillId="25" borderId="97" xfId="0" applyNumberFormat="1" applyFont="1" applyFill="1" applyBorder="1" applyAlignment="1">
      <alignment horizontal="center" wrapText="1"/>
    </xf>
    <xf numFmtId="4" fontId="38" fillId="25" borderId="98" xfId="0" applyNumberFormat="1" applyFont="1" applyFill="1" applyBorder="1" applyAlignment="1">
      <alignment horizontal="center" wrapText="1"/>
    </xf>
    <xf numFmtId="0" fontId="70" fillId="25" borderId="14" xfId="0" applyFont="1" applyFill="1" applyBorder="1" applyAlignment="1">
      <alignment horizontal="center"/>
    </xf>
    <xf numFmtId="0" fontId="70" fillId="25" borderId="18" xfId="0" applyFont="1" applyFill="1" applyBorder="1" applyAlignment="1">
      <alignment horizontal="center"/>
    </xf>
    <xf numFmtId="0" fontId="95" fillId="5" borderId="14" xfId="0" applyFont="1" applyFill="1" applyBorder="1" applyAlignment="1">
      <alignment horizontal="center" wrapText="1"/>
    </xf>
    <xf numFmtId="0" fontId="95" fillId="5" borderId="18" xfId="0" applyFont="1" applyFill="1" applyBorder="1" applyAlignment="1">
      <alignment horizontal="center" wrapText="1"/>
    </xf>
    <xf numFmtId="4" fontId="95" fillId="5" borderId="14" xfId="0" applyNumberFormat="1" applyFont="1" applyFill="1" applyBorder="1" applyAlignment="1">
      <alignment horizontal="center" wrapText="1"/>
    </xf>
    <xf numFmtId="4" fontId="95" fillId="5" borderId="18" xfId="0" applyNumberFormat="1" applyFont="1" applyFill="1" applyBorder="1" applyAlignment="1">
      <alignment horizontal="center" wrapText="1"/>
    </xf>
    <xf numFmtId="0" fontId="39" fillId="20" borderId="3" xfId="0" applyFont="1" applyFill="1" applyBorder="1" applyAlignment="1">
      <alignment horizontal="left"/>
    </xf>
    <xf numFmtId="0" fontId="39" fillId="20" borderId="4" xfId="0" applyFont="1" applyFill="1" applyBorder="1" applyAlignment="1">
      <alignment horizontal="left"/>
    </xf>
    <xf numFmtId="0" fontId="49" fillId="0" borderId="8" xfId="0" applyFont="1" applyBorder="1" applyAlignment="1">
      <alignment horizontal="left" wrapText="1"/>
    </xf>
    <xf numFmtId="0" fontId="49" fillId="0" borderId="9" xfId="0" applyFont="1" applyBorder="1" applyAlignment="1">
      <alignment horizontal="left" wrapText="1"/>
    </xf>
    <xf numFmtId="0" fontId="70" fillId="25" borderId="71" xfId="0" applyFont="1" applyFill="1" applyBorder="1" applyAlignment="1">
      <alignment horizontal="center"/>
    </xf>
    <xf numFmtId="0" fontId="70" fillId="25" borderId="80" xfId="0" applyFont="1" applyFill="1" applyBorder="1" applyAlignment="1">
      <alignment horizontal="center"/>
    </xf>
    <xf numFmtId="182" fontId="33" fillId="25" borderId="11" xfId="0" applyNumberFormat="1" applyFont="1" applyFill="1" applyBorder="1" applyAlignment="1">
      <alignment horizontal="center"/>
    </xf>
    <xf numFmtId="182" fontId="33" fillId="25" borderId="38" xfId="0" applyNumberFormat="1" applyFont="1" applyFill="1" applyBorder="1" applyAlignment="1">
      <alignment horizontal="center"/>
    </xf>
    <xf numFmtId="0" fontId="45" fillId="20" borderId="79" xfId="0" applyFont="1" applyFill="1" applyBorder="1" applyAlignment="1">
      <alignment horizontal="center" vertical="center"/>
    </xf>
    <xf numFmtId="0" fontId="45" fillId="20" borderId="17" xfId="0" applyFont="1" applyFill="1" applyBorder="1" applyAlignment="1">
      <alignment horizontal="center" vertical="center"/>
    </xf>
    <xf numFmtId="0" fontId="39" fillId="0" borderId="16" xfId="0" applyFont="1" applyFill="1" applyBorder="1" applyAlignment="1">
      <alignment horizontal="center"/>
    </xf>
    <xf numFmtId="0" fontId="39" fillId="0" borderId="36" xfId="0" applyFont="1" applyFill="1" applyBorder="1" applyAlignment="1">
      <alignment horizontal="center"/>
    </xf>
    <xf numFmtId="3" fontId="48" fillId="25" borderId="13" xfId="0" applyNumberFormat="1" applyFont="1" applyFill="1" applyBorder="1" applyAlignment="1">
      <alignment horizontal="center"/>
    </xf>
    <xf numFmtId="3" fontId="48" fillId="25" borderId="11" xfId="0" applyNumberFormat="1" applyFont="1" applyFill="1" applyBorder="1" applyAlignment="1">
      <alignment horizontal="center"/>
    </xf>
    <xf numFmtId="4" fontId="48" fillId="25" borderId="11" xfId="0" applyNumberFormat="1" applyFont="1" applyFill="1" applyBorder="1" applyAlignment="1">
      <alignment horizontal="center"/>
    </xf>
    <xf numFmtId="182" fontId="33" fillId="25" borderId="40" xfId="0" applyNumberFormat="1" applyFont="1" applyFill="1" applyBorder="1" applyAlignment="1">
      <alignment horizontal="center"/>
    </xf>
    <xf numFmtId="182" fontId="33" fillId="25" borderId="41" xfId="0" applyNumberFormat="1" applyFont="1" applyFill="1" applyBorder="1" applyAlignment="1">
      <alignment horizontal="center"/>
    </xf>
    <xf numFmtId="3" fontId="48" fillId="25" borderId="39" xfId="0" applyNumberFormat="1" applyFont="1" applyFill="1" applyBorder="1" applyAlignment="1">
      <alignment horizontal="center"/>
    </xf>
    <xf numFmtId="3" fontId="48" fillId="25" borderId="40" xfId="0" applyNumberFormat="1" applyFont="1" applyFill="1" applyBorder="1" applyAlignment="1">
      <alignment horizontal="center"/>
    </xf>
    <xf numFmtId="0" fontId="33" fillId="0" borderId="0" xfId="0" applyFont="1" applyBorder="1" applyAlignment="1">
      <alignment horizontal="center"/>
    </xf>
    <xf numFmtId="0" fontId="42" fillId="26" borderId="0" xfId="0" applyFont="1" applyFill="1" applyBorder="1" applyAlignment="1">
      <alignment horizontal="center"/>
    </xf>
    <xf numFmtId="0" fontId="38" fillId="0" borderId="6" xfId="0" applyFont="1" applyFill="1" applyBorder="1" applyAlignment="1">
      <alignment horizontal="right" wrapText="1"/>
    </xf>
    <xf numFmtId="0" fontId="38" fillId="0" borderId="0" xfId="0" applyFont="1" applyFill="1" applyBorder="1" applyAlignment="1">
      <alignment horizontal="right" wrapText="1"/>
    </xf>
    <xf numFmtId="0" fontId="38" fillId="0" borderId="6" xfId="0" applyFont="1" applyFill="1" applyBorder="1" applyAlignment="1">
      <alignment horizontal="right"/>
    </xf>
    <xf numFmtId="0" fontId="38" fillId="0" borderId="0" xfId="0" applyFont="1" applyFill="1" applyBorder="1" applyAlignment="1">
      <alignment horizontal="right"/>
    </xf>
    <xf numFmtId="0" fontId="119" fillId="0" borderId="105" xfId="0" applyFont="1" applyFill="1" applyBorder="1" applyAlignment="1">
      <alignment horizontal="center" vertical="center"/>
    </xf>
    <xf numFmtId="0" fontId="119" fillId="0" borderId="106" xfId="0" applyFont="1" applyFill="1" applyBorder="1" applyAlignment="1">
      <alignment horizontal="center" vertical="center"/>
    </xf>
    <xf numFmtId="0" fontId="119" fillId="0" borderId="107" xfId="0" applyFont="1" applyFill="1" applyBorder="1" applyAlignment="1">
      <alignment horizontal="center" vertical="center"/>
    </xf>
    <xf numFmtId="0" fontId="38" fillId="0" borderId="6" xfId="0" applyFont="1" applyFill="1" applyBorder="1" applyAlignment="1">
      <alignment horizontal="left"/>
    </xf>
    <xf numFmtId="0" fontId="38" fillId="0" borderId="0" xfId="0" applyFont="1" applyFill="1" applyBorder="1" applyAlignment="1">
      <alignment horizontal="left"/>
    </xf>
    <xf numFmtId="0" fontId="52" fillId="0" borderId="6" xfId="0" applyFont="1" applyFill="1" applyBorder="1" applyAlignment="1">
      <alignment horizontal="right" wrapText="1"/>
    </xf>
    <xf numFmtId="0" fontId="52" fillId="0" borderId="0" xfId="0" applyFont="1" applyFill="1" applyBorder="1" applyAlignment="1">
      <alignment horizontal="right" wrapText="1"/>
    </xf>
    <xf numFmtId="0" fontId="38" fillId="0" borderId="6" xfId="0" applyFont="1" applyFill="1" applyBorder="1" applyAlignment="1">
      <alignment horizontal="right" vertical="center" wrapText="1"/>
    </xf>
    <xf numFmtId="0" fontId="38" fillId="0" borderId="0" xfId="0" applyFont="1" applyFill="1" applyBorder="1" applyAlignment="1">
      <alignment horizontal="right" vertical="center" wrapText="1"/>
    </xf>
    <xf numFmtId="4" fontId="52" fillId="20" borderId="9" xfId="135" applyNumberFormat="1" applyFont="1" applyFill="1" applyBorder="1" applyAlignment="1">
      <alignment horizontal="right"/>
    </xf>
    <xf numFmtId="0" fontId="38" fillId="0" borderId="6" xfId="94" applyFont="1" applyFill="1" applyBorder="1" applyAlignment="1">
      <alignment horizontal="left" vertical="center" wrapText="1"/>
    </xf>
    <xf numFmtId="0" fontId="38" fillId="0" borderId="0" xfId="94" applyFont="1" applyFill="1" applyBorder="1" applyAlignment="1">
      <alignment horizontal="left" vertical="center" wrapText="1"/>
    </xf>
    <xf numFmtId="2" fontId="52" fillId="20" borderId="4" xfId="135" applyNumberFormat="1" applyFont="1" applyFill="1" applyBorder="1" applyAlignment="1">
      <alignment horizontal="right"/>
    </xf>
    <xf numFmtId="0" fontId="38" fillId="0" borderId="6" xfId="0" applyFont="1" applyFill="1" applyBorder="1" applyAlignment="1">
      <alignment horizontal="right" vertical="center"/>
    </xf>
    <xf numFmtId="0" fontId="38" fillId="0" borderId="0" xfId="0" applyFont="1" applyFill="1" applyBorder="1" applyAlignment="1">
      <alignment horizontal="right" vertical="center"/>
    </xf>
    <xf numFmtId="0" fontId="95" fillId="0" borderId="7" xfId="94" applyFont="1" applyFill="1" applyBorder="1" applyAlignment="1">
      <alignment horizontal="center" vertical="center" wrapText="1"/>
    </xf>
    <xf numFmtId="0" fontId="95" fillId="0" borderId="66" xfId="94" applyFont="1" applyFill="1" applyBorder="1" applyAlignment="1">
      <alignment horizontal="center" vertical="center" wrapText="1"/>
    </xf>
    <xf numFmtId="0" fontId="52" fillId="0" borderId="6" xfId="0" applyFont="1" applyFill="1" applyBorder="1" applyAlignment="1">
      <alignment horizontal="right" vertical="center"/>
    </xf>
    <xf numFmtId="0" fontId="52" fillId="0" borderId="0" xfId="0" applyFont="1" applyFill="1" applyBorder="1" applyAlignment="1">
      <alignment horizontal="right" vertical="center"/>
    </xf>
    <xf numFmtId="0" fontId="52" fillId="0" borderId="6" xfId="0" applyFont="1" applyFill="1" applyBorder="1" applyAlignment="1">
      <alignment horizontal="right"/>
    </xf>
    <xf numFmtId="0" fontId="52" fillId="0" borderId="0" xfId="0" applyFont="1" applyFill="1" applyBorder="1" applyAlignment="1">
      <alignment horizontal="right"/>
    </xf>
    <xf numFmtId="0" fontId="33" fillId="0" borderId="0" xfId="0" applyFont="1" applyBorder="1" applyAlignment="1">
      <alignment horizontal="left" wrapText="1"/>
    </xf>
    <xf numFmtId="0" fontId="38" fillId="0" borderId="6" xfId="0" applyFont="1" applyFill="1" applyBorder="1" applyAlignment="1">
      <alignment horizontal="left" wrapText="1"/>
    </xf>
    <xf numFmtId="0" fontId="38" fillId="0" borderId="0" xfId="0" applyFont="1" applyFill="1" applyBorder="1" applyAlignment="1">
      <alignment horizontal="left" wrapText="1"/>
    </xf>
    <xf numFmtId="4" fontId="39" fillId="20" borderId="9" xfId="2" applyNumberFormat="1" applyFont="1" applyFill="1" applyBorder="1" applyAlignment="1">
      <alignment horizontal="right"/>
    </xf>
    <xf numFmtId="0" fontId="38" fillId="0" borderId="6" xfId="94" applyFont="1" applyFill="1" applyBorder="1" applyAlignment="1">
      <alignment horizontal="left" wrapText="1"/>
    </xf>
    <xf numFmtId="0" fontId="38" fillId="0" borderId="0" xfId="94" applyFont="1" applyFill="1" applyBorder="1" applyAlignment="1">
      <alignment horizontal="left" wrapText="1"/>
    </xf>
    <xf numFmtId="4" fontId="39" fillId="20" borderId="4" xfId="2" applyNumberFormat="1" applyFont="1" applyFill="1" applyBorder="1" applyAlignment="1">
      <alignment horizontal="right"/>
    </xf>
    <xf numFmtId="0" fontId="41" fillId="26" borderId="0" xfId="0" applyFont="1" applyFill="1" applyBorder="1" applyAlignment="1">
      <alignment horizontal="center"/>
    </xf>
    <xf numFmtId="0" fontId="52" fillId="20" borderId="11" xfId="94" applyFont="1" applyFill="1" applyBorder="1" applyAlignment="1">
      <alignment horizontal="left" vertical="center" wrapText="1"/>
    </xf>
    <xf numFmtId="0" fontId="86" fillId="20" borderId="11" xfId="94" applyFont="1" applyFill="1" applyBorder="1" applyAlignment="1">
      <alignment horizontal="left" vertical="center" wrapText="1"/>
    </xf>
    <xf numFmtId="0" fontId="38" fillId="0" borderId="11" xfId="94" applyFont="1" applyFill="1" applyBorder="1" applyAlignment="1">
      <alignment horizontal="left" vertical="center" wrapText="1"/>
    </xf>
    <xf numFmtId="0" fontId="38" fillId="0" borderId="11" xfId="94" applyFont="1" applyFill="1" applyBorder="1" applyAlignment="1">
      <alignment horizontal="right" vertical="center" wrapText="1"/>
    </xf>
    <xf numFmtId="0" fontId="38" fillId="0" borderId="12" xfId="94" applyFont="1" applyFill="1" applyBorder="1" applyAlignment="1">
      <alignment horizontal="left" vertical="center" wrapText="1"/>
    </xf>
    <xf numFmtId="0" fontId="38" fillId="0" borderId="52" xfId="94" applyFont="1" applyFill="1" applyBorder="1" applyAlignment="1">
      <alignment horizontal="left" vertical="center" wrapText="1"/>
    </xf>
    <xf numFmtId="0" fontId="52" fillId="20" borderId="12" xfId="94" applyFont="1" applyFill="1" applyBorder="1" applyAlignment="1">
      <alignment horizontal="left" vertical="center" wrapText="1"/>
    </xf>
    <xf numFmtId="0" fontId="52" fillId="20" borderId="52" xfId="94" applyFont="1" applyFill="1" applyBorder="1" applyAlignment="1">
      <alignment horizontal="left" vertical="center" wrapText="1"/>
    </xf>
    <xf numFmtId="0" fontId="33" fillId="0" borderId="0" xfId="0" applyFont="1" applyBorder="1" applyAlignment="1">
      <alignment horizontal="center" wrapText="1"/>
    </xf>
    <xf numFmtId="0" fontId="33" fillId="0" borderId="60" xfId="0" applyFont="1" applyBorder="1" applyAlignment="1">
      <alignment horizontal="center" wrapText="1"/>
    </xf>
    <xf numFmtId="0" fontId="33" fillId="0" borderId="0" xfId="0" applyFont="1" applyBorder="1" applyAlignment="1">
      <alignment horizontal="center" vertical="center" wrapText="1"/>
    </xf>
    <xf numFmtId="0" fontId="33" fillId="0" borderId="60" xfId="0" applyFont="1" applyBorder="1" applyAlignment="1">
      <alignment horizontal="center" vertical="center" wrapText="1"/>
    </xf>
    <xf numFmtId="0" fontId="33" fillId="0" borderId="62" xfId="0" applyFont="1" applyBorder="1" applyAlignment="1">
      <alignment horizontal="center" vertical="center" wrapText="1"/>
    </xf>
    <xf numFmtId="0" fontId="33" fillId="0" borderId="63" xfId="0" applyFont="1" applyBorder="1" applyAlignment="1">
      <alignment horizontal="center" vertical="center" wrapText="1"/>
    </xf>
    <xf numFmtId="0" fontId="18" fillId="5" borderId="3" xfId="88" applyFont="1" applyFill="1" applyBorder="1" applyAlignment="1">
      <alignment horizontal="center" wrapText="1"/>
    </xf>
    <xf numFmtId="0" fontId="18" fillId="5" borderId="4" xfId="88" applyFont="1" applyFill="1" applyBorder="1" applyAlignment="1">
      <alignment horizontal="center" wrapText="1"/>
    </xf>
    <xf numFmtId="0" fontId="18" fillId="5" borderId="5" xfId="88" applyFont="1" applyFill="1" applyBorder="1" applyAlignment="1">
      <alignment horizontal="center" wrapText="1"/>
    </xf>
    <xf numFmtId="0" fontId="72" fillId="23" borderId="31" xfId="88" applyFont="1" applyFill="1" applyBorder="1" applyAlignment="1">
      <alignment horizontal="left" wrapText="1"/>
    </xf>
    <xf numFmtId="0" fontId="72" fillId="23" borderId="35" xfId="88" applyFont="1" applyFill="1" applyBorder="1" applyAlignment="1">
      <alignment horizontal="left" wrapText="1"/>
    </xf>
    <xf numFmtId="0" fontId="72" fillId="23" borderId="17" xfId="88" applyFont="1" applyFill="1" applyBorder="1" applyAlignment="1">
      <alignment horizontal="left" wrapText="1"/>
    </xf>
    <xf numFmtId="0" fontId="45" fillId="24" borderId="19" xfId="0" applyFont="1" applyFill="1" applyBorder="1" applyAlignment="1">
      <alignment horizontal="left"/>
    </xf>
    <xf numFmtId="0" fontId="45" fillId="24" borderId="27" xfId="0" applyFont="1" applyFill="1" applyBorder="1" applyAlignment="1">
      <alignment horizontal="left"/>
    </xf>
    <xf numFmtId="44" fontId="45" fillId="24" borderId="27" xfId="3" applyFont="1" applyFill="1" applyBorder="1" applyAlignment="1">
      <alignment horizontal="center"/>
    </xf>
    <xf numFmtId="44" fontId="45" fillId="24" borderId="20" xfId="3" applyFont="1" applyFill="1" applyBorder="1" applyAlignment="1">
      <alignment horizontal="center"/>
    </xf>
    <xf numFmtId="44" fontId="39" fillId="17" borderId="27" xfId="3" applyNumberFormat="1" applyFont="1" applyFill="1" applyBorder="1" applyAlignment="1">
      <alignment horizontal="center"/>
    </xf>
    <xf numFmtId="44" fontId="39" fillId="17" borderId="20" xfId="3" applyNumberFormat="1" applyFont="1" applyFill="1" applyBorder="1" applyAlignment="1">
      <alignment horizontal="center"/>
    </xf>
    <xf numFmtId="0" fontId="33" fillId="0" borderId="0" xfId="0" applyFont="1" applyBorder="1" applyAlignment="1">
      <alignment horizontal="left" vertical="center" wrapText="1"/>
    </xf>
    <xf numFmtId="10" fontId="39" fillId="24" borderId="4" xfId="0" applyNumberFormat="1" applyFont="1" applyFill="1" applyBorder="1" applyAlignment="1">
      <alignment horizontal="right"/>
    </xf>
    <xf numFmtId="0" fontId="114" fillId="0" borderId="76" xfId="0" applyFont="1" applyFill="1" applyBorder="1" applyAlignment="1">
      <alignment horizontal="center" wrapText="1"/>
    </xf>
    <xf numFmtId="0" fontId="114" fillId="0" borderId="77" xfId="0" applyFont="1" applyFill="1" applyBorder="1" applyAlignment="1">
      <alignment horizontal="center" wrapText="1"/>
    </xf>
    <xf numFmtId="0" fontId="114" fillId="0" borderId="36" xfId="0" applyFont="1" applyFill="1" applyBorder="1" applyAlignment="1">
      <alignment horizontal="center"/>
    </xf>
    <xf numFmtId="0" fontId="49" fillId="25" borderId="32" xfId="0" applyFont="1" applyFill="1" applyBorder="1" applyAlignment="1">
      <alignment horizontal="center" vertical="center" wrapText="1"/>
    </xf>
    <xf numFmtId="0" fontId="49" fillId="25" borderId="52" xfId="0" applyFont="1" applyFill="1" applyBorder="1" applyAlignment="1">
      <alignment horizontal="center" vertical="center" wrapText="1"/>
    </xf>
    <xf numFmtId="0" fontId="52" fillId="0" borderId="16" xfId="0" applyFont="1" applyFill="1" applyBorder="1" applyAlignment="1">
      <alignment horizontal="center" wrapText="1"/>
    </xf>
    <xf numFmtId="0" fontId="52" fillId="0" borderId="13" xfId="0" applyFont="1" applyFill="1" applyBorder="1" applyAlignment="1">
      <alignment horizontal="center" wrapText="1"/>
    </xf>
    <xf numFmtId="0" fontId="39" fillId="17" borderId="19" xfId="0" applyFont="1" applyFill="1" applyBorder="1" applyAlignment="1">
      <alignment horizontal="left"/>
    </xf>
    <xf numFmtId="0" fontId="39" fillId="17" borderId="27" xfId="0" applyFont="1" applyFill="1" applyBorder="1" applyAlignment="1">
      <alignment horizontal="left"/>
    </xf>
    <xf numFmtId="0" fontId="52" fillId="0" borderId="36" xfId="0" applyFont="1" applyFill="1" applyBorder="1" applyAlignment="1">
      <alignment horizontal="center"/>
    </xf>
    <xf numFmtId="0" fontId="34" fillId="24" borderId="86" xfId="0" applyFont="1" applyFill="1" applyBorder="1" applyAlignment="1">
      <alignment horizontal="center" vertical="center" wrapText="1"/>
    </xf>
    <xf numFmtId="0" fontId="34" fillId="24" borderId="72" xfId="0" applyFont="1" applyFill="1" applyBorder="1" applyAlignment="1">
      <alignment horizontal="center" vertical="center" wrapText="1"/>
    </xf>
    <xf numFmtId="0" fontId="39" fillId="17" borderId="83" xfId="0" applyFont="1" applyFill="1" applyBorder="1" applyAlignment="1">
      <alignment horizontal="center" vertical="center" wrapText="1"/>
    </xf>
    <xf numFmtId="0" fontId="39" fillId="17" borderId="84" xfId="0" applyFont="1" applyFill="1" applyBorder="1" applyAlignment="1">
      <alignment horizontal="center" vertical="center" wrapText="1"/>
    </xf>
    <xf numFmtId="0" fontId="39" fillId="0" borderId="79" xfId="0" applyFont="1" applyFill="1" applyBorder="1" applyAlignment="1">
      <alignment horizontal="center"/>
    </xf>
    <xf numFmtId="0" fontId="39" fillId="0" borderId="35" xfId="0" applyFont="1" applyFill="1" applyBorder="1" applyAlignment="1">
      <alignment horizontal="center"/>
    </xf>
    <xf numFmtId="0" fontId="39" fillId="0" borderId="70" xfId="0" applyFont="1" applyFill="1" applyBorder="1" applyAlignment="1">
      <alignment horizontal="center"/>
    </xf>
    <xf numFmtId="0" fontId="52" fillId="17" borderId="83" xfId="0" applyFont="1" applyFill="1" applyBorder="1" applyAlignment="1">
      <alignment horizontal="center" vertical="center" wrapText="1"/>
    </xf>
    <xf numFmtId="0" fontId="52" fillId="17" borderId="84" xfId="0" applyFont="1" applyFill="1" applyBorder="1" applyAlignment="1">
      <alignment horizontal="center" vertical="center" wrapText="1"/>
    </xf>
    <xf numFmtId="0" fontId="34" fillId="24" borderId="83" xfId="0" applyFont="1" applyFill="1" applyBorder="1" applyAlignment="1">
      <alignment horizontal="center" vertical="center" wrapText="1"/>
    </xf>
    <xf numFmtId="0" fontId="34" fillId="24" borderId="84" xfId="0" applyFont="1" applyFill="1" applyBorder="1" applyAlignment="1">
      <alignment horizontal="center" vertical="center" wrapText="1"/>
    </xf>
    <xf numFmtId="0" fontId="38" fillId="0" borderId="0" xfId="0" applyFont="1" applyBorder="1" applyAlignment="1">
      <alignment horizontal="left" vertical="center" wrapText="1"/>
    </xf>
    <xf numFmtId="0" fontId="82" fillId="25" borderId="14" xfId="0" applyFont="1" applyFill="1" applyBorder="1" applyAlignment="1">
      <alignment horizontal="center" vertical="center" wrapText="1"/>
    </xf>
    <xf numFmtId="0" fontId="82" fillId="25" borderId="18" xfId="0" applyFont="1" applyFill="1" applyBorder="1" applyAlignment="1">
      <alignment horizontal="center" vertical="center" wrapText="1"/>
    </xf>
    <xf numFmtId="0" fontId="126" fillId="0" borderId="14" xfId="0" applyFont="1" applyFill="1" applyBorder="1" applyAlignment="1">
      <alignment horizontal="left" vertical="center" wrapText="1"/>
    </xf>
    <xf numFmtId="0" fontId="126" fillId="0" borderId="18" xfId="0" applyFont="1" applyFill="1" applyBorder="1" applyAlignment="1">
      <alignment horizontal="left" vertical="center" wrapText="1"/>
    </xf>
    <xf numFmtId="3" fontId="48" fillId="0" borderId="0" xfId="0" applyNumberFormat="1" applyFont="1" applyFill="1" applyBorder="1" applyAlignment="1">
      <alignment horizontal="center"/>
    </xf>
    <xf numFmtId="0" fontId="82" fillId="25" borderId="62" xfId="0" applyFont="1" applyFill="1" applyBorder="1" applyAlignment="1">
      <alignment horizontal="center" vertical="center" wrapText="1"/>
    </xf>
    <xf numFmtId="0" fontId="82" fillId="25" borderId="66" xfId="0" applyFont="1" applyFill="1" applyBorder="1" applyAlignment="1">
      <alignment horizontal="center" vertical="center" wrapText="1"/>
    </xf>
    <xf numFmtId="0" fontId="38" fillId="25" borderId="62" xfId="0" applyFont="1" applyFill="1" applyBorder="1" applyAlignment="1">
      <alignment horizontal="center" vertical="center" wrapText="1"/>
    </xf>
    <xf numFmtId="0" fontId="95" fillId="25" borderId="14" xfId="0" applyFont="1" applyFill="1" applyBorder="1" applyAlignment="1">
      <alignment horizontal="left" vertical="center" wrapText="1"/>
    </xf>
    <xf numFmtId="0" fontId="95" fillId="25" borderId="18" xfId="0" applyFont="1" applyFill="1" applyBorder="1" applyAlignment="1">
      <alignment horizontal="left" vertical="center" wrapText="1"/>
    </xf>
    <xf numFmtId="0" fontId="33" fillId="5" borderId="0" xfId="0" applyFont="1" applyFill="1" applyBorder="1" applyAlignment="1">
      <alignment horizontal="left" vertical="center"/>
    </xf>
    <xf numFmtId="0" fontId="112" fillId="0" borderId="0" xfId="0" applyFont="1" applyFill="1" applyBorder="1" applyAlignment="1">
      <alignment horizontal="center"/>
    </xf>
    <xf numFmtId="0" fontId="33" fillId="0" borderId="0" xfId="0" applyFont="1" applyFill="1" applyBorder="1" applyAlignment="1"/>
    <xf numFmtId="0" fontId="126" fillId="25" borderId="14" xfId="0" applyFont="1" applyFill="1" applyBorder="1" applyAlignment="1">
      <alignment horizontal="left" vertical="center" wrapText="1"/>
    </xf>
    <xf numFmtId="0" fontId="126" fillId="25" borderId="18" xfId="0" applyFont="1" applyFill="1" applyBorder="1" applyAlignment="1">
      <alignment horizontal="left" vertical="center" wrapText="1"/>
    </xf>
    <xf numFmtId="0" fontId="82" fillId="25" borderId="57" xfId="0" applyFont="1" applyFill="1" applyBorder="1" applyAlignment="1">
      <alignment horizontal="center" vertical="center" wrapText="1"/>
    </xf>
    <xf numFmtId="0" fontId="82" fillId="25" borderId="73" xfId="0" applyFont="1" applyFill="1" applyBorder="1" applyAlignment="1">
      <alignment horizontal="center" vertical="center" wrapText="1"/>
    </xf>
    <xf numFmtId="0" fontId="38" fillId="0" borderId="6" xfId="0" applyFont="1" applyFill="1" applyBorder="1" applyAlignment="1">
      <alignment horizontal="center" vertical="center" wrapText="1"/>
    </xf>
    <xf numFmtId="0" fontId="38" fillId="0" borderId="0" xfId="0" applyFont="1" applyFill="1" applyBorder="1" applyAlignment="1">
      <alignment horizontal="center" vertical="center" wrapText="1"/>
    </xf>
    <xf numFmtId="0" fontId="34" fillId="0" borderId="35" xfId="0" applyFont="1" applyFill="1" applyBorder="1" applyAlignment="1">
      <alignment horizontal="center"/>
    </xf>
    <xf numFmtId="0" fontId="34" fillId="0" borderId="17" xfId="0" applyFont="1" applyFill="1" applyBorder="1" applyAlignment="1">
      <alignment horizontal="center"/>
    </xf>
    <xf numFmtId="0" fontId="48" fillId="0" borderId="8" xfId="0" applyFont="1" applyBorder="1" applyAlignment="1">
      <alignment horizontal="left" wrapText="1"/>
    </xf>
    <xf numFmtId="0" fontId="48" fillId="0" borderId="9" xfId="0" applyFont="1" applyBorder="1" applyAlignment="1">
      <alignment horizontal="left" wrapText="1"/>
    </xf>
    <xf numFmtId="0" fontId="126" fillId="0" borderId="71" xfId="0" applyFont="1" applyFill="1" applyBorder="1" applyAlignment="1">
      <alignment horizontal="left" vertical="center" wrapText="1"/>
    </xf>
    <xf numFmtId="0" fontId="126" fillId="0" borderId="80" xfId="0" applyFont="1" applyFill="1" applyBorder="1" applyAlignment="1">
      <alignment horizontal="left" vertical="center" wrapText="1"/>
    </xf>
    <xf numFmtId="0" fontId="33" fillId="5" borderId="6" xfId="0" applyFont="1" applyFill="1" applyBorder="1" applyAlignment="1">
      <alignment horizontal="left" vertical="center"/>
    </xf>
    <xf numFmtId="0" fontId="33" fillId="5" borderId="6" xfId="0" applyFont="1" applyFill="1" applyBorder="1" applyAlignment="1">
      <alignment horizontal="right" vertical="center" wrapText="1"/>
    </xf>
    <xf numFmtId="0" fontId="33" fillId="5" borderId="0" xfId="0" applyFont="1" applyFill="1" applyBorder="1" applyAlignment="1">
      <alignment horizontal="right" vertical="center" wrapText="1"/>
    </xf>
    <xf numFmtId="0" fontId="38" fillId="0" borderId="6" xfId="0" applyFont="1" applyFill="1" applyBorder="1" applyAlignment="1">
      <alignment horizontal="left" vertical="center" wrapText="1"/>
    </xf>
    <xf numFmtId="0" fontId="38" fillId="0" borderId="0" xfId="0" applyFont="1" applyFill="1" applyBorder="1" applyAlignment="1">
      <alignment horizontal="left" vertical="center" wrapText="1"/>
    </xf>
    <xf numFmtId="0" fontId="34" fillId="0" borderId="31" xfId="0" applyFont="1" applyFill="1" applyBorder="1" applyAlignment="1">
      <alignment horizontal="center" vertical="center" wrapText="1"/>
    </xf>
    <xf numFmtId="0" fontId="34" fillId="0" borderId="35" xfId="0" applyFont="1" applyFill="1" applyBorder="1" applyAlignment="1">
      <alignment horizontal="center" vertical="center" wrapText="1"/>
    </xf>
    <xf numFmtId="0" fontId="34" fillId="0" borderId="32" xfId="0" applyFont="1" applyFill="1" applyBorder="1" applyAlignment="1">
      <alignment horizontal="center" vertical="center" wrapText="1"/>
    </xf>
    <xf numFmtId="0" fontId="34" fillId="0" borderId="14" xfId="0" applyFont="1" applyFill="1" applyBorder="1" applyAlignment="1">
      <alignment horizontal="center" vertical="center" wrapText="1"/>
    </xf>
    <xf numFmtId="0" fontId="91" fillId="0" borderId="35" xfId="0" applyFont="1" applyFill="1" applyBorder="1" applyAlignment="1">
      <alignment horizontal="center" vertical="center"/>
    </xf>
    <xf numFmtId="0" fontId="91" fillId="0" borderId="70" xfId="0" applyFont="1" applyFill="1" applyBorder="1" applyAlignment="1">
      <alignment horizontal="center" vertical="center"/>
    </xf>
    <xf numFmtId="0" fontId="33" fillId="0" borderId="6" xfId="0" applyFont="1" applyFill="1" applyBorder="1" applyAlignment="1">
      <alignment horizontal="center" vertical="center"/>
    </xf>
    <xf numFmtId="0" fontId="33" fillId="0" borderId="0" xfId="0" applyFont="1" applyFill="1" applyBorder="1" applyAlignment="1">
      <alignment horizontal="center" vertical="center"/>
    </xf>
    <xf numFmtId="0" fontId="34" fillId="0" borderId="8" xfId="0" applyFont="1" applyFill="1" applyBorder="1" applyAlignment="1">
      <alignment horizontal="center" vertical="center" wrapText="1"/>
    </xf>
    <xf numFmtId="0" fontId="34" fillId="0" borderId="9" xfId="0" applyFont="1" applyFill="1" applyBorder="1" applyAlignment="1">
      <alignment horizontal="center" vertical="center" wrapText="1"/>
    </xf>
    <xf numFmtId="0" fontId="33" fillId="0" borderId="83" xfId="0" applyFont="1" applyBorder="1" applyAlignment="1">
      <alignment horizontal="center" vertical="center" wrapText="1"/>
    </xf>
    <xf numFmtId="0" fontId="33" fillId="0" borderId="84" xfId="0" applyFont="1" applyBorder="1" applyAlignment="1">
      <alignment horizontal="center" vertical="center" wrapText="1"/>
    </xf>
    <xf numFmtId="0" fontId="33" fillId="0" borderId="0" xfId="0" applyFont="1" applyFill="1" applyBorder="1" applyAlignment="1">
      <alignment wrapText="1"/>
    </xf>
    <xf numFmtId="0" fontId="33" fillId="0" borderId="0" xfId="0" applyFont="1" applyFill="1" applyBorder="1" applyAlignment="1">
      <alignment horizontal="left" wrapText="1"/>
    </xf>
    <xf numFmtId="0" fontId="39" fillId="17" borderId="3" xfId="0" applyFont="1" applyFill="1" applyBorder="1" applyAlignment="1">
      <alignment horizontal="left"/>
    </xf>
    <xf numFmtId="0" fontId="39" fillId="17" borderId="4" xfId="0" applyFont="1" applyFill="1" applyBorder="1" applyAlignment="1">
      <alignment horizontal="left"/>
    </xf>
    <xf numFmtId="0" fontId="48" fillId="5" borderId="4" xfId="0" applyFont="1" applyFill="1" applyBorder="1" applyAlignment="1">
      <alignment horizontal="center" vertical="center"/>
    </xf>
    <xf numFmtId="0" fontId="48" fillId="5" borderId="62" xfId="0" applyFont="1" applyFill="1" applyBorder="1" applyAlignment="1">
      <alignment horizontal="center" vertical="center"/>
    </xf>
    <xf numFmtId="0" fontId="48" fillId="0" borderId="5" xfId="0" applyFont="1" applyFill="1" applyBorder="1" applyAlignment="1">
      <alignment horizontal="center" vertical="center" wrapText="1"/>
    </xf>
    <xf numFmtId="0" fontId="48" fillId="0" borderId="66" xfId="0" applyFont="1" applyFill="1" applyBorder="1" applyAlignment="1">
      <alignment horizontal="center" vertical="center" wrapText="1"/>
    </xf>
    <xf numFmtId="0" fontId="34" fillId="5" borderId="31" xfId="0" applyFont="1" applyFill="1" applyBorder="1" applyAlignment="1">
      <alignment horizontal="center" vertical="center" wrapText="1"/>
    </xf>
    <xf numFmtId="0" fontId="34" fillId="5" borderId="32" xfId="0" applyFont="1" applyFill="1" applyBorder="1" applyAlignment="1">
      <alignment horizontal="center" vertical="center" wrapText="1"/>
    </xf>
    <xf numFmtId="9" fontId="39" fillId="17" borderId="4" xfId="136" applyFont="1" applyFill="1" applyBorder="1" applyAlignment="1">
      <alignment horizontal="center"/>
    </xf>
    <xf numFmtId="0" fontId="66" fillId="0" borderId="0" xfId="0" applyFont="1" applyFill="1" applyBorder="1"/>
    <xf numFmtId="0" fontId="0" fillId="0" borderId="0" xfId="0" applyFill="1" applyBorder="1"/>
    <xf numFmtId="0" fontId="0" fillId="0" borderId="0" xfId="0" applyFill="1" applyBorder="1" applyAlignment="1">
      <alignment horizontal="center" vertical="center"/>
    </xf>
    <xf numFmtId="0" fontId="0" fillId="0" borderId="0" xfId="0" applyFill="1" applyBorder="1" applyAlignment="1">
      <alignment horizontal="center"/>
    </xf>
    <xf numFmtId="0" fontId="66" fillId="5" borderId="0" xfId="0" applyFont="1" applyFill="1" applyBorder="1"/>
    <xf numFmtId="0" fontId="0" fillId="5" borderId="0" xfId="0" applyFill="1" applyBorder="1"/>
    <xf numFmtId="10" fontId="34" fillId="20" borderId="4" xfId="136" applyNumberFormat="1" applyFont="1" applyFill="1" applyBorder="1" applyAlignment="1">
      <alignment horizontal="right"/>
    </xf>
    <xf numFmtId="0" fontId="0" fillId="5" borderId="0" xfId="0" applyFill="1" applyBorder="1" applyAlignment="1">
      <alignment horizontal="center" vertical="center"/>
    </xf>
    <xf numFmtId="0" fontId="0" fillId="5" borderId="0" xfId="0" applyFill="1" applyBorder="1" applyAlignment="1">
      <alignment horizontal="center"/>
    </xf>
    <xf numFmtId="186" fontId="34" fillId="20" borderId="9" xfId="0" applyNumberFormat="1" applyFont="1" applyFill="1" applyBorder="1" applyAlignment="1">
      <alignment horizontal="right"/>
    </xf>
    <xf numFmtId="0" fontId="45" fillId="20" borderId="19" xfId="0" applyFont="1" applyFill="1" applyBorder="1" applyAlignment="1">
      <alignment horizontal="left"/>
    </xf>
    <xf numFmtId="0" fontId="45" fillId="20" borderId="27" xfId="0" applyFont="1" applyFill="1" applyBorder="1" applyAlignment="1">
      <alignment horizontal="left"/>
    </xf>
    <xf numFmtId="44" fontId="45" fillId="20" borderId="27" xfId="3" applyFont="1" applyFill="1" applyBorder="1" applyAlignment="1">
      <alignment horizontal="center"/>
    </xf>
    <xf numFmtId="44" fontId="45" fillId="20" borderId="20" xfId="3" applyFont="1" applyFill="1" applyBorder="1" applyAlignment="1">
      <alignment horizontal="center"/>
    </xf>
    <xf numFmtId="0" fontId="118" fillId="0" borderId="0" xfId="138" applyFont="1" applyBorder="1" applyAlignment="1">
      <alignment horizontal="left"/>
    </xf>
    <xf numFmtId="0" fontId="114" fillId="0" borderId="79" xfId="0" applyFont="1" applyFill="1" applyBorder="1" applyAlignment="1">
      <alignment horizontal="center"/>
    </xf>
    <xf numFmtId="0" fontId="114" fillId="0" borderId="35" xfId="0" applyFont="1" applyFill="1" applyBorder="1" applyAlignment="1">
      <alignment horizontal="center"/>
    </xf>
    <xf numFmtId="0" fontId="114" fillId="0" borderId="70" xfId="0" applyFont="1" applyFill="1" applyBorder="1" applyAlignment="1">
      <alignment horizontal="center"/>
    </xf>
    <xf numFmtId="0" fontId="34" fillId="20" borderId="83" xfId="0" applyFont="1" applyFill="1" applyBorder="1" applyAlignment="1">
      <alignment horizontal="center" vertical="center" wrapText="1"/>
    </xf>
    <xf numFmtId="0" fontId="34" fillId="20" borderId="84" xfId="0" applyFont="1" applyFill="1" applyBorder="1" applyAlignment="1">
      <alignment horizontal="center" vertical="center" wrapText="1"/>
    </xf>
    <xf numFmtId="44" fontId="39" fillId="24" borderId="9" xfId="3" applyFont="1" applyFill="1" applyBorder="1" applyAlignment="1">
      <alignment horizontal="right"/>
    </xf>
    <xf numFmtId="7" fontId="45" fillId="17" borderId="9" xfId="0" applyNumberFormat="1" applyFont="1" applyFill="1" applyBorder="1" applyAlignment="1">
      <alignment horizontal="center"/>
    </xf>
    <xf numFmtId="0" fontId="49" fillId="25" borderId="85" xfId="0" applyFont="1" applyFill="1" applyBorder="1" applyAlignment="1">
      <alignment horizontal="center" vertical="center" wrapText="1"/>
    </xf>
    <xf numFmtId="0" fontId="49" fillId="25" borderId="88" xfId="0" applyFont="1" applyFill="1" applyBorder="1" applyAlignment="1">
      <alignment horizontal="center" vertical="center" wrapText="1"/>
    </xf>
    <xf numFmtId="0" fontId="39" fillId="0" borderId="76" xfId="0" applyFont="1" applyFill="1" applyBorder="1" applyAlignment="1">
      <alignment horizontal="center" wrapText="1"/>
    </xf>
    <xf numFmtId="0" fontId="39" fillId="0" borderId="77" xfId="0" applyFont="1" applyFill="1" applyBorder="1" applyAlignment="1">
      <alignment horizontal="center" wrapText="1"/>
    </xf>
    <xf numFmtId="0" fontId="42" fillId="22" borderId="29" xfId="0" applyFont="1" applyFill="1" applyBorder="1" applyAlignment="1">
      <alignment horizontal="center"/>
    </xf>
    <xf numFmtId="0" fontId="42" fillId="22" borderId="25" xfId="0" applyFont="1" applyFill="1" applyBorder="1" applyAlignment="1">
      <alignment horizontal="center"/>
    </xf>
    <xf numFmtId="0" fontId="42" fillId="22" borderId="22" xfId="0" applyFont="1" applyFill="1" applyBorder="1" applyAlignment="1">
      <alignment horizontal="center"/>
    </xf>
    <xf numFmtId="0" fontId="33" fillId="5" borderId="6" xfId="0" applyFont="1" applyFill="1" applyBorder="1" applyAlignment="1">
      <alignment horizontal="left" vertical="center" wrapText="1"/>
    </xf>
    <xf numFmtId="0" fontId="33" fillId="5" borderId="0" xfId="0" applyFont="1" applyFill="1" applyBorder="1" applyAlignment="1">
      <alignment horizontal="left" vertical="center" wrapText="1"/>
    </xf>
    <xf numFmtId="0" fontId="126" fillId="25" borderId="14" xfId="0" applyFont="1" applyFill="1" applyBorder="1" applyAlignment="1">
      <alignment horizontal="center" vertical="center" wrapText="1"/>
    </xf>
    <xf numFmtId="0" fontId="126" fillId="25" borderId="18" xfId="0" applyFont="1" applyFill="1" applyBorder="1" applyAlignment="1">
      <alignment horizontal="center" vertical="center" wrapText="1"/>
    </xf>
    <xf numFmtId="0" fontId="126" fillId="0" borderId="14" xfId="0" applyFont="1" applyFill="1" applyBorder="1" applyAlignment="1">
      <alignment horizontal="center" vertical="center" wrapText="1"/>
    </xf>
    <xf numFmtId="0" fontId="126" fillId="0" borderId="18" xfId="0" applyFont="1" applyFill="1" applyBorder="1" applyAlignment="1">
      <alignment horizontal="center" vertical="center" wrapText="1"/>
    </xf>
    <xf numFmtId="0" fontId="64" fillId="0" borderId="4" xfId="0" applyFont="1" applyFill="1" applyBorder="1" applyAlignment="1">
      <alignment horizontal="center"/>
    </xf>
    <xf numFmtId="0" fontId="64" fillId="0" borderId="5" xfId="0" applyFont="1" applyFill="1" applyBorder="1" applyAlignment="1">
      <alignment horizontal="center"/>
    </xf>
    <xf numFmtId="0" fontId="48" fillId="0" borderId="6" xfId="0" applyFont="1" applyBorder="1" applyAlignment="1">
      <alignment horizontal="left" vertical="center" wrapText="1"/>
    </xf>
    <xf numFmtId="0" fontId="48" fillId="0" borderId="0" xfId="0" applyFont="1" applyBorder="1" applyAlignment="1">
      <alignment horizontal="left" vertical="center" wrapText="1"/>
    </xf>
    <xf numFmtId="0" fontId="126" fillId="25" borderId="57" xfId="0" applyFont="1" applyFill="1" applyBorder="1" applyAlignment="1">
      <alignment horizontal="center" vertical="center" wrapText="1"/>
    </xf>
    <xf numFmtId="0" fontId="126" fillId="25" borderId="73" xfId="0" applyFont="1" applyFill="1" applyBorder="1" applyAlignment="1">
      <alignment horizontal="center" vertical="center" wrapText="1"/>
    </xf>
    <xf numFmtId="0" fontId="33" fillId="0" borderId="57"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3" fillId="0" borderId="97" xfId="0" applyFont="1" applyFill="1" applyBorder="1" applyAlignment="1">
      <alignment horizontal="center" vertical="center" wrapText="1"/>
    </xf>
    <xf numFmtId="0" fontId="33" fillId="0" borderId="57" xfId="0" applyFont="1" applyFill="1" applyBorder="1" applyAlignment="1">
      <alignment horizontal="center" vertical="center"/>
    </xf>
    <xf numFmtId="0" fontId="33" fillId="0" borderId="97" xfId="0" applyFont="1" applyFill="1" applyBorder="1" applyAlignment="1">
      <alignment horizontal="center" vertical="center"/>
    </xf>
    <xf numFmtId="178" fontId="33" fillId="0" borderId="0" xfId="0" applyNumberFormat="1" applyFont="1" applyAlignment="1">
      <alignment horizontal="center"/>
    </xf>
    <xf numFmtId="11" fontId="33" fillId="0" borderId="0" xfId="0" applyNumberFormat="1" applyFont="1" applyAlignment="1">
      <alignment horizontal="center"/>
    </xf>
    <xf numFmtId="0" fontId="33" fillId="0" borderId="0" xfId="0" applyFont="1" applyAlignment="1">
      <alignment horizontal="center"/>
    </xf>
    <xf numFmtId="10" fontId="33" fillId="0" borderId="0" xfId="136" applyNumberFormat="1" applyFont="1" applyAlignment="1">
      <alignment horizontal="center"/>
    </xf>
    <xf numFmtId="0" fontId="112" fillId="21" borderId="67" xfId="0" applyFont="1" applyFill="1" applyBorder="1" applyAlignment="1">
      <alignment horizontal="center"/>
    </xf>
    <xf numFmtId="185" fontId="41" fillId="30" borderId="12" xfId="135" applyNumberFormat="1" applyFont="1" applyFill="1" applyBorder="1" applyAlignment="1">
      <alignment horizontal="center" vertical="center"/>
    </xf>
    <xf numFmtId="185" fontId="41" fillId="30" borderId="52" xfId="135" applyNumberFormat="1" applyFont="1" applyFill="1" applyBorder="1" applyAlignment="1">
      <alignment horizontal="center" vertical="center"/>
    </xf>
    <xf numFmtId="178" fontId="41" fillId="30" borderId="12" xfId="135" applyNumberFormat="1" applyFont="1" applyFill="1" applyBorder="1" applyAlignment="1">
      <alignment horizontal="center" vertical="center"/>
    </xf>
    <xf numFmtId="178" fontId="41" fillId="30" borderId="52" xfId="135" applyNumberFormat="1" applyFont="1" applyFill="1" applyBorder="1" applyAlignment="1">
      <alignment horizontal="center" vertical="center"/>
    </xf>
    <xf numFmtId="0" fontId="33" fillId="0" borderId="14" xfId="0" applyFont="1" applyFill="1" applyBorder="1" applyAlignment="1">
      <alignment wrapText="1"/>
    </xf>
    <xf numFmtId="0" fontId="33" fillId="0" borderId="14" xfId="0" applyFont="1" applyFill="1" applyBorder="1" applyAlignment="1">
      <alignment horizontal="left" vertical="center" wrapText="1"/>
    </xf>
    <xf numFmtId="0" fontId="38" fillId="0" borderId="57" xfId="0" applyFont="1" applyFill="1" applyBorder="1" applyAlignment="1">
      <alignment horizontal="left" vertical="center" wrapText="1"/>
    </xf>
    <xf numFmtId="0" fontId="38" fillId="0" borderId="97" xfId="0" applyFont="1" applyFill="1" applyBorder="1" applyAlignment="1">
      <alignment horizontal="left" vertical="center" wrapText="1"/>
    </xf>
    <xf numFmtId="0" fontId="33" fillId="0" borderId="57" xfId="0" applyFont="1" applyFill="1" applyBorder="1" applyAlignment="1">
      <alignment horizontal="left" wrapText="1"/>
    </xf>
    <xf numFmtId="0" fontId="33" fillId="0" borderId="97" xfId="0" applyFont="1" applyFill="1" applyBorder="1" applyAlignment="1">
      <alignment horizontal="left" wrapText="1"/>
    </xf>
    <xf numFmtId="0" fontId="33" fillId="0" borderId="25" xfId="0" applyFont="1" applyFill="1" applyBorder="1" applyAlignment="1">
      <alignment horizontal="left" wrapText="1"/>
    </xf>
    <xf numFmtId="0" fontId="41" fillId="21" borderId="64" xfId="0" applyFont="1" applyFill="1" applyBorder="1" applyAlignment="1">
      <alignment horizontal="center" vertical="center"/>
    </xf>
    <xf numFmtId="0" fontId="41" fillId="21" borderId="65" xfId="0" applyFont="1" applyFill="1" applyBorder="1" applyAlignment="1">
      <alignment horizontal="center" vertical="center"/>
    </xf>
    <xf numFmtId="0" fontId="41" fillId="21" borderId="26" xfId="0" applyFont="1" applyFill="1" applyBorder="1" applyAlignment="1">
      <alignment horizontal="center" vertical="center"/>
    </xf>
    <xf numFmtId="0" fontId="146" fillId="30" borderId="12" xfId="0" applyFont="1" applyFill="1" applyBorder="1" applyAlignment="1">
      <alignment horizontal="center" vertical="center"/>
    </xf>
    <xf numFmtId="0" fontId="146" fillId="30" borderId="14" xfId="0" applyFont="1" applyFill="1" applyBorder="1" applyAlignment="1">
      <alignment horizontal="center" vertical="center"/>
    </xf>
    <xf numFmtId="0" fontId="146" fillId="30" borderId="52" xfId="0" applyFont="1" applyFill="1" applyBorder="1" applyAlignment="1">
      <alignment horizontal="center" vertical="center"/>
    </xf>
    <xf numFmtId="179" fontId="41" fillId="30" borderId="12" xfId="0" applyNumberFormat="1" applyFont="1" applyFill="1" applyBorder="1" applyAlignment="1">
      <alignment horizontal="center"/>
    </xf>
    <xf numFmtId="179" fontId="41" fillId="30" borderId="52" xfId="0" applyNumberFormat="1" applyFont="1" applyFill="1" applyBorder="1" applyAlignment="1">
      <alignment horizontal="center"/>
    </xf>
    <xf numFmtId="3" fontId="84" fillId="0" borderId="0" xfId="136" applyNumberFormat="1" applyFont="1" applyFill="1" applyBorder="1" applyAlignment="1">
      <alignment horizontal="center" vertical="center"/>
    </xf>
    <xf numFmtId="179" fontId="41" fillId="30" borderId="12" xfId="135" applyNumberFormat="1" applyFont="1" applyFill="1" applyBorder="1" applyAlignment="1">
      <alignment horizontal="center" vertical="center"/>
    </xf>
    <xf numFmtId="179" fontId="41" fillId="30" borderId="52" xfId="135" applyNumberFormat="1" applyFont="1" applyFill="1" applyBorder="1" applyAlignment="1">
      <alignment horizontal="center" vertical="center"/>
    </xf>
    <xf numFmtId="178" fontId="41" fillId="30" borderId="12" xfId="135" applyNumberFormat="1" applyFont="1" applyFill="1" applyBorder="1" applyAlignment="1">
      <alignment horizontal="center"/>
    </xf>
    <xf numFmtId="178" fontId="41" fillId="30" borderId="52" xfId="135" applyNumberFormat="1" applyFont="1" applyFill="1" applyBorder="1" applyAlignment="1">
      <alignment horizontal="center"/>
    </xf>
    <xf numFmtId="0" fontId="33" fillId="0" borderId="14" xfId="0" applyFont="1" applyFill="1" applyBorder="1" applyAlignment="1">
      <alignment vertical="center" wrapText="1"/>
    </xf>
    <xf numFmtId="0" fontId="33" fillId="0" borderId="57" xfId="0" applyFont="1" applyFill="1" applyBorder="1" applyAlignment="1">
      <alignment horizontal="left" vertical="center" wrapText="1"/>
    </xf>
    <xf numFmtId="0" fontId="33" fillId="0" borderId="0" xfId="0" applyFont="1" applyFill="1" applyBorder="1" applyAlignment="1">
      <alignment horizontal="left" vertical="center" wrapText="1"/>
    </xf>
    <xf numFmtId="0" fontId="33" fillId="0" borderId="97" xfId="0" applyFont="1" applyFill="1" applyBorder="1" applyAlignment="1">
      <alignment horizontal="left" vertical="center" wrapText="1"/>
    </xf>
    <xf numFmtId="0" fontId="33" fillId="0" borderId="14" xfId="0" applyFont="1" applyFill="1" applyBorder="1" applyAlignment="1">
      <alignment horizontal="left" wrapText="1"/>
    </xf>
    <xf numFmtId="0" fontId="33" fillId="0" borderId="34" xfId="0" applyFont="1" applyFill="1" applyBorder="1" applyAlignment="1">
      <alignment horizontal="left" vertical="center" wrapText="1"/>
    </xf>
    <xf numFmtId="2" fontId="33" fillId="0" borderId="57" xfId="0" applyNumberFormat="1" applyFont="1" applyFill="1" applyBorder="1" applyAlignment="1">
      <alignment horizontal="center" vertical="center"/>
    </xf>
    <xf numFmtId="2" fontId="33" fillId="0" borderId="0" xfId="0" applyNumberFormat="1" applyFont="1" applyFill="1" applyBorder="1" applyAlignment="1">
      <alignment horizontal="center" vertical="center"/>
    </xf>
    <xf numFmtId="2" fontId="33" fillId="0" borderId="97" xfId="0" applyNumberFormat="1" applyFont="1" applyFill="1" applyBorder="1" applyAlignment="1">
      <alignment horizontal="center" vertical="center"/>
    </xf>
    <xf numFmtId="9" fontId="41" fillId="30" borderId="11" xfId="136" applyFont="1" applyFill="1" applyBorder="1" applyAlignment="1">
      <alignment horizontal="center"/>
    </xf>
    <xf numFmtId="0" fontId="33" fillId="0" borderId="25" xfId="0" applyFont="1" applyFill="1" applyBorder="1" applyAlignment="1">
      <alignment horizontal="center" vertical="center"/>
    </xf>
    <xf numFmtId="0" fontId="119" fillId="5" borderId="106" xfId="0" applyFont="1" applyFill="1" applyBorder="1" applyAlignment="1">
      <alignment horizontal="center" vertical="center"/>
    </xf>
    <xf numFmtId="0" fontId="42" fillId="27" borderId="30" xfId="0" applyFont="1" applyFill="1" applyBorder="1" applyAlignment="1">
      <alignment horizontal="center"/>
    </xf>
    <xf numFmtId="0" fontId="42" fillId="27" borderId="0" xfId="0" applyFont="1" applyFill="1" applyBorder="1" applyAlignment="1">
      <alignment horizontal="center"/>
    </xf>
    <xf numFmtId="0" fontId="42" fillId="27" borderId="23" xfId="0" applyFont="1" applyFill="1" applyBorder="1" applyAlignment="1">
      <alignment horizontal="center"/>
    </xf>
    <xf numFmtId="0" fontId="33" fillId="5" borderId="0" xfId="0" applyFont="1" applyFill="1" applyBorder="1" applyAlignment="1">
      <alignment horizontal="left" vertical="top" wrapText="1"/>
    </xf>
    <xf numFmtId="0" fontId="119" fillId="0" borderId="30" xfId="0" applyFont="1" applyFill="1" applyBorder="1" applyAlignment="1">
      <alignment horizontal="center" vertical="center"/>
    </xf>
    <xf numFmtId="0" fontId="119" fillId="0" borderId="0" xfId="0" applyFont="1" applyFill="1" applyBorder="1" applyAlignment="1">
      <alignment horizontal="center" vertical="center"/>
    </xf>
    <xf numFmtId="0" fontId="119" fillId="0" borderId="23" xfId="0" applyFont="1" applyFill="1" applyBorder="1" applyAlignment="1">
      <alignment horizontal="center" vertical="center"/>
    </xf>
    <xf numFmtId="0" fontId="33" fillId="5" borderId="0" xfId="0" applyFont="1" applyFill="1" applyBorder="1" applyAlignment="1">
      <alignment horizontal="center"/>
    </xf>
    <xf numFmtId="0" fontId="33" fillId="5" borderId="7" xfId="0" applyFont="1" applyFill="1" applyBorder="1" applyAlignment="1">
      <alignment horizontal="center"/>
    </xf>
    <xf numFmtId="0" fontId="33" fillId="0" borderId="0" xfId="0" applyFont="1" applyFill="1" applyBorder="1" applyAlignment="1">
      <alignment horizontal="center"/>
    </xf>
    <xf numFmtId="0" fontId="33" fillId="0" borderId="7" xfId="0" applyFont="1" applyFill="1" applyBorder="1" applyAlignment="1">
      <alignment horizontal="center"/>
    </xf>
    <xf numFmtId="0" fontId="34" fillId="0" borderId="6" xfId="0" applyFont="1" applyBorder="1" applyAlignment="1">
      <alignment horizontal="right" wrapText="1"/>
    </xf>
    <xf numFmtId="0" fontId="34" fillId="0" borderId="0" xfId="0" applyFont="1" applyBorder="1" applyAlignment="1">
      <alignment horizontal="right" wrapText="1"/>
    </xf>
    <xf numFmtId="0" fontId="125" fillId="25" borderId="97" xfId="138" applyFont="1" applyFill="1" applyBorder="1" applyAlignment="1">
      <alignment horizontal="center"/>
    </xf>
    <xf numFmtId="0" fontId="125" fillId="25" borderId="98" xfId="138" applyFont="1" applyFill="1" applyBorder="1" applyAlignment="1">
      <alignment horizontal="center"/>
    </xf>
    <xf numFmtId="0" fontId="38" fillId="5" borderId="0" xfId="0" applyFont="1" applyFill="1" applyBorder="1" applyAlignment="1">
      <alignment horizontal="left" vertical="top" wrapText="1"/>
    </xf>
    <xf numFmtId="0" fontId="125" fillId="25" borderId="14" xfId="138" applyFont="1" applyFill="1" applyBorder="1" applyAlignment="1">
      <alignment horizontal="center"/>
    </xf>
    <xf numFmtId="0" fontId="125" fillId="25" borderId="18" xfId="138" applyFont="1" applyFill="1" applyBorder="1" applyAlignment="1">
      <alignment horizontal="center"/>
    </xf>
    <xf numFmtId="0" fontId="119" fillId="5" borderId="30" xfId="0" applyFont="1" applyFill="1" applyBorder="1" applyAlignment="1">
      <alignment horizontal="center" vertical="center"/>
    </xf>
    <xf numFmtId="0" fontId="119" fillId="5" borderId="0" xfId="0" applyFont="1" applyFill="1" applyBorder="1" applyAlignment="1">
      <alignment horizontal="center" vertical="center"/>
    </xf>
    <xf numFmtId="0" fontId="119" fillId="5" borderId="23" xfId="0" applyFont="1" applyFill="1" applyBorder="1" applyAlignment="1">
      <alignment horizontal="center" vertical="center"/>
    </xf>
    <xf numFmtId="43" fontId="39" fillId="17" borderId="4" xfId="135" applyFont="1" applyFill="1" applyBorder="1" applyAlignment="1">
      <alignment horizontal="center"/>
    </xf>
    <xf numFmtId="43" fontId="45" fillId="17" borderId="9" xfId="135" applyFont="1" applyFill="1" applyBorder="1" applyAlignment="1">
      <alignment horizontal="right"/>
    </xf>
    <xf numFmtId="2" fontId="39" fillId="28" borderId="4" xfId="0" applyNumberFormat="1" applyFont="1" applyFill="1" applyBorder="1" applyAlignment="1">
      <alignment horizontal="right"/>
    </xf>
    <xf numFmtId="43" fontId="39" fillId="28" borderId="9" xfId="135" applyFont="1" applyFill="1" applyBorder="1" applyAlignment="1">
      <alignment horizontal="right"/>
    </xf>
    <xf numFmtId="4" fontId="39" fillId="17" borderId="9" xfId="3" applyNumberFormat="1" applyFont="1" applyFill="1" applyBorder="1" applyAlignment="1">
      <alignment horizontal="right"/>
    </xf>
    <xf numFmtId="186" fontId="39" fillId="28" borderId="9" xfId="0" applyNumberFormat="1" applyFont="1" applyFill="1" applyBorder="1" applyAlignment="1">
      <alignment horizontal="right"/>
    </xf>
    <xf numFmtId="0" fontId="33" fillId="5" borderId="6" xfId="0" applyFont="1" applyFill="1" applyBorder="1" applyAlignment="1">
      <alignment horizontal="left" wrapText="1"/>
    </xf>
    <xf numFmtId="0" fontId="136" fillId="0" borderId="94" xfId="0" applyFont="1" applyFill="1" applyBorder="1" applyAlignment="1">
      <alignment horizontal="left"/>
    </xf>
    <xf numFmtId="0" fontId="34" fillId="0" borderId="14" xfId="0" applyFont="1" applyBorder="1" applyAlignment="1">
      <alignment horizontal="center" vertical="center"/>
    </xf>
    <xf numFmtId="0" fontId="34" fillId="0" borderId="57" xfId="0" applyFont="1" applyBorder="1" applyAlignment="1">
      <alignment horizontal="center" vertical="center"/>
    </xf>
    <xf numFmtId="0" fontId="34" fillId="0" borderId="94" xfId="0" applyFont="1" applyBorder="1" applyAlignment="1">
      <alignment horizontal="center" vertical="center"/>
    </xf>
    <xf numFmtId="0" fontId="38" fillId="5" borderId="14" xfId="0" applyFont="1" applyFill="1" applyBorder="1" applyAlignment="1">
      <alignment horizontal="center"/>
    </xf>
    <xf numFmtId="186" fontId="39" fillId="24" borderId="0" xfId="3" applyNumberFormat="1" applyFont="1" applyFill="1" applyBorder="1" applyAlignment="1">
      <alignment horizontal="right"/>
    </xf>
    <xf numFmtId="186" fontId="39" fillId="24" borderId="9" xfId="3" applyNumberFormat="1" applyFont="1" applyFill="1" applyBorder="1" applyAlignment="1">
      <alignment horizontal="right"/>
    </xf>
    <xf numFmtId="190" fontId="39" fillId="20" borderId="9" xfId="3" applyNumberFormat="1" applyFont="1" applyFill="1" applyBorder="1" applyAlignment="1">
      <alignment horizontal="right"/>
    </xf>
    <xf numFmtId="0" fontId="48" fillId="0" borderId="6" xfId="0" applyFont="1" applyBorder="1" applyAlignment="1">
      <alignment horizontal="left"/>
    </xf>
    <xf numFmtId="0" fontId="48" fillId="0" borderId="0" xfId="0" applyFont="1" applyBorder="1" applyAlignment="1">
      <alignment horizontal="left"/>
    </xf>
    <xf numFmtId="0" fontId="0" fillId="25" borderId="12" xfId="0" applyFill="1" applyBorder="1" applyAlignment="1" applyProtection="1">
      <alignment horizontal="center"/>
      <protection locked="0"/>
    </xf>
    <xf numFmtId="0" fontId="0" fillId="25" borderId="52" xfId="0" applyFill="1" applyBorder="1" applyAlignment="1" applyProtection="1">
      <alignment horizontal="center"/>
      <protection locked="0"/>
    </xf>
    <xf numFmtId="0" fontId="52" fillId="19" borderId="12" xfId="0" applyFont="1" applyFill="1" applyBorder="1" applyAlignment="1">
      <alignment horizontal="center" vertical="center"/>
    </xf>
    <xf numFmtId="0" fontId="52" fillId="19" borderId="52" xfId="0" applyFont="1" applyFill="1" applyBorder="1" applyAlignment="1">
      <alignment horizontal="center" vertical="center"/>
    </xf>
    <xf numFmtId="3" fontId="48" fillId="25" borderId="12" xfId="0" applyNumberFormat="1" applyFont="1" applyFill="1" applyBorder="1" applyAlignment="1" applyProtection="1">
      <alignment horizontal="center" vertical="center" wrapText="1"/>
      <protection locked="0"/>
    </xf>
    <xf numFmtId="3" fontId="48" fillId="25" borderId="52" xfId="0" applyNumberFormat="1" applyFont="1" applyFill="1" applyBorder="1" applyAlignment="1" applyProtection="1">
      <alignment horizontal="center" vertical="center" wrapText="1"/>
      <protection locked="0"/>
    </xf>
    <xf numFmtId="0" fontId="39" fillId="0" borderId="56" xfId="0" applyFont="1" applyFill="1" applyBorder="1" applyAlignment="1">
      <alignment horizontal="center" vertical="center"/>
    </xf>
    <xf numFmtId="0" fontId="39" fillId="0" borderId="58" xfId="0" applyFont="1" applyFill="1" applyBorder="1" applyAlignment="1">
      <alignment horizontal="center" vertical="center"/>
    </xf>
    <xf numFmtId="0" fontId="39" fillId="0" borderId="99" xfId="0" applyFont="1" applyFill="1" applyBorder="1" applyAlignment="1">
      <alignment horizontal="center" vertical="center"/>
    </xf>
    <xf numFmtId="0" fontId="39" fillId="24" borderId="12" xfId="0" applyFont="1" applyFill="1" applyBorder="1" applyAlignment="1">
      <alignment horizontal="center" vertical="center"/>
    </xf>
    <xf numFmtId="0" fontId="39" fillId="24" borderId="14" xfId="0" applyFont="1" applyFill="1" applyBorder="1" applyAlignment="1">
      <alignment horizontal="center" vertical="center"/>
    </xf>
    <xf numFmtId="0" fontId="39" fillId="24" borderId="52" xfId="0" applyFont="1" applyFill="1" applyBorder="1" applyAlignment="1">
      <alignment horizontal="center" vertical="center"/>
    </xf>
    <xf numFmtId="0" fontId="52" fillId="20" borderId="8" xfId="0" applyFont="1" applyFill="1" applyBorder="1" applyAlignment="1">
      <alignment horizontal="left"/>
    </xf>
    <xf numFmtId="0" fontId="52" fillId="20" borderId="9" xfId="0" applyFont="1" applyFill="1" applyBorder="1" applyAlignment="1">
      <alignment horizontal="left"/>
    </xf>
    <xf numFmtId="0" fontId="52" fillId="24" borderId="4" xfId="2" applyFont="1" applyFill="1" applyBorder="1" applyAlignment="1">
      <alignment horizontal="left"/>
    </xf>
    <xf numFmtId="0" fontId="52" fillId="24" borderId="5" xfId="2" applyFont="1" applyFill="1" applyBorder="1" applyAlignment="1">
      <alignment horizontal="left"/>
    </xf>
    <xf numFmtId="0" fontId="52" fillId="24" borderId="7" xfId="2" applyFont="1" applyFill="1" applyBorder="1" applyAlignment="1">
      <alignment horizontal="left" wrapText="1"/>
    </xf>
    <xf numFmtId="44" fontId="52" fillId="24" borderId="7" xfId="3" applyFont="1" applyFill="1" applyBorder="1" applyAlignment="1">
      <alignment horizontal="left"/>
    </xf>
    <xf numFmtId="186" fontId="52" fillId="24" borderId="9" xfId="3" applyNumberFormat="1" applyFont="1" applyFill="1" applyBorder="1" applyAlignment="1">
      <alignment horizontal="left"/>
    </xf>
    <xf numFmtId="186" fontId="52" fillId="24" borderId="10" xfId="3" applyNumberFormat="1" applyFont="1" applyFill="1" applyBorder="1" applyAlignment="1">
      <alignment horizontal="left"/>
    </xf>
    <xf numFmtId="0" fontId="52" fillId="20" borderId="0" xfId="2" applyFont="1" applyFill="1" applyBorder="1" applyAlignment="1">
      <alignment horizontal="left" wrapText="1"/>
    </xf>
    <xf numFmtId="0" fontId="52" fillId="20" borderId="7" xfId="2" applyFont="1" applyFill="1" applyBorder="1" applyAlignment="1">
      <alignment horizontal="left" wrapText="1"/>
    </xf>
    <xf numFmtId="44" fontId="52" fillId="20" borderId="9" xfId="3" applyFont="1" applyFill="1" applyBorder="1" applyAlignment="1">
      <alignment horizontal="left"/>
    </xf>
    <xf numFmtId="44" fontId="52" fillId="20" borderId="10" xfId="3" applyFont="1" applyFill="1" applyBorder="1" applyAlignment="1">
      <alignment horizontal="left"/>
    </xf>
    <xf numFmtId="0" fontId="52" fillId="24" borderId="6" xfId="0" applyFont="1" applyFill="1" applyBorder="1" applyAlignment="1">
      <alignment horizontal="left"/>
    </xf>
    <xf numFmtId="0" fontId="52" fillId="24" borderId="0" xfId="0" applyFont="1" applyFill="1" applyBorder="1" applyAlignment="1">
      <alignment horizontal="left"/>
    </xf>
    <xf numFmtId="0" fontId="52" fillId="24" borderId="8" xfId="0" applyFont="1" applyFill="1" applyBorder="1" applyAlignment="1">
      <alignment horizontal="center"/>
    </xf>
    <xf numFmtId="0" fontId="52" fillId="24" borderId="9" xfId="0" applyFont="1" applyFill="1" applyBorder="1" applyAlignment="1">
      <alignment horizontal="center"/>
    </xf>
    <xf numFmtId="0" fontId="52" fillId="20" borderId="6" xfId="0" applyFont="1" applyFill="1" applyBorder="1" applyAlignment="1">
      <alignment horizontal="left"/>
    </xf>
    <xf numFmtId="0" fontId="52" fillId="20" borderId="0" xfId="0" applyFont="1" applyFill="1" applyBorder="1" applyAlignment="1">
      <alignment horizontal="left"/>
    </xf>
    <xf numFmtId="0" fontId="52" fillId="0" borderId="3" xfId="138" applyFont="1" applyBorder="1" applyAlignment="1">
      <alignment horizontal="center" vertical="center" wrapText="1"/>
    </xf>
    <xf numFmtId="0" fontId="52" fillId="0" borderId="4" xfId="138" applyFont="1" applyBorder="1" applyAlignment="1">
      <alignment horizontal="center" vertical="center" wrapText="1"/>
    </xf>
    <xf numFmtId="0" fontId="52" fillId="0" borderId="5" xfId="138" applyFont="1" applyBorder="1" applyAlignment="1">
      <alignment horizontal="center" vertical="center" wrapText="1"/>
    </xf>
    <xf numFmtId="0" fontId="42" fillId="18" borderId="0" xfId="0" applyFont="1" applyFill="1" applyBorder="1" applyAlignment="1">
      <alignment horizontal="center"/>
    </xf>
    <xf numFmtId="186" fontId="52" fillId="28" borderId="9" xfId="0" applyNumberFormat="1" applyFont="1" applyFill="1" applyBorder="1" applyAlignment="1">
      <alignment horizontal="right"/>
    </xf>
    <xf numFmtId="43" fontId="52" fillId="17" borderId="4" xfId="135" applyFont="1" applyFill="1" applyBorder="1" applyAlignment="1">
      <alignment horizontal="center"/>
    </xf>
    <xf numFmtId="43" fontId="34" fillId="17" borderId="0" xfId="135" applyFont="1" applyFill="1" applyBorder="1" applyAlignment="1">
      <alignment horizontal="right"/>
    </xf>
    <xf numFmtId="2" fontId="52" fillId="24" borderId="4" xfId="0" applyNumberFormat="1" applyFont="1" applyFill="1" applyBorder="1" applyAlignment="1">
      <alignment horizontal="right"/>
    </xf>
    <xf numFmtId="43" fontId="52" fillId="24" borderId="0" xfId="135" applyFont="1" applyFill="1" applyBorder="1" applyAlignment="1">
      <alignment horizontal="right"/>
    </xf>
    <xf numFmtId="0" fontId="52" fillId="0" borderId="3" xfId="138" applyFont="1" applyBorder="1" applyAlignment="1">
      <alignment horizontal="center" wrapText="1"/>
    </xf>
    <xf numFmtId="0" fontId="52" fillId="0" borderId="4" xfId="138" applyFont="1" applyBorder="1" applyAlignment="1">
      <alignment horizontal="center" wrapText="1"/>
    </xf>
    <xf numFmtId="0" fontId="52" fillId="0" borderId="5" xfId="138" applyFont="1" applyBorder="1" applyAlignment="1">
      <alignment horizontal="center" wrapText="1"/>
    </xf>
    <xf numFmtId="191" fontId="52" fillId="20" borderId="4" xfId="135" applyNumberFormat="1" applyFont="1" applyFill="1" applyBorder="1" applyAlignment="1">
      <alignment horizontal="center"/>
    </xf>
    <xf numFmtId="43" fontId="34" fillId="20" borderId="9" xfId="135" applyFont="1" applyFill="1" applyBorder="1" applyAlignment="1">
      <alignment horizontal="center"/>
    </xf>
    <xf numFmtId="0" fontId="52" fillId="0" borderId="19" xfId="138" applyFont="1" applyBorder="1" applyAlignment="1">
      <alignment horizontal="center" vertical="center" wrapText="1"/>
    </xf>
    <xf numFmtId="0" fontId="52" fillId="0" borderId="27" xfId="138" applyFont="1" applyBorder="1" applyAlignment="1">
      <alignment horizontal="center" vertical="center" wrapText="1"/>
    </xf>
    <xf numFmtId="0" fontId="52" fillId="0" borderId="20" xfId="138" applyFont="1" applyBorder="1" applyAlignment="1">
      <alignment horizontal="center" vertical="center" wrapText="1"/>
    </xf>
    <xf numFmtId="0" fontId="42" fillId="22" borderId="11" xfId="0" applyFont="1" applyFill="1" applyBorder="1" applyAlignment="1">
      <alignment horizontal="center"/>
    </xf>
    <xf numFmtId="0" fontId="140" fillId="0" borderId="97" xfId="0" applyFont="1" applyBorder="1" applyAlignment="1">
      <alignment horizontal="center"/>
    </xf>
    <xf numFmtId="0" fontId="38" fillId="0" borderId="3" xfId="0" applyFont="1" applyBorder="1" applyAlignment="1">
      <alignment horizontal="justify" vertical="center" wrapText="1"/>
    </xf>
    <xf numFmtId="0" fontId="38" fillId="0" borderId="4" xfId="0" applyFont="1" applyBorder="1" applyAlignment="1">
      <alignment horizontal="justify" vertical="center" wrapText="1"/>
    </xf>
    <xf numFmtId="0" fontId="38" fillId="0" borderId="5" xfId="0" applyFont="1" applyBorder="1" applyAlignment="1">
      <alignment horizontal="justify" vertical="center" wrapText="1"/>
    </xf>
    <xf numFmtId="0" fontId="38" fillId="0" borderId="6" xfId="0" applyFont="1" applyBorder="1" applyAlignment="1">
      <alignment horizontal="justify" vertical="center" wrapText="1"/>
    </xf>
    <xf numFmtId="0" fontId="38" fillId="0" borderId="0" xfId="0" applyFont="1" applyBorder="1" applyAlignment="1">
      <alignment horizontal="justify" vertical="center" wrapText="1"/>
    </xf>
    <xf numFmtId="0" fontId="38" fillId="0" borderId="7" xfId="0" applyFont="1" applyBorder="1" applyAlignment="1">
      <alignment horizontal="justify" vertical="center" wrapText="1"/>
    </xf>
    <xf numFmtId="0" fontId="38" fillId="0" borderId="8" xfId="0" applyFont="1" applyBorder="1" applyAlignment="1">
      <alignment horizontal="justify" vertical="center" wrapText="1"/>
    </xf>
    <xf numFmtId="0" fontId="38" fillId="0" borderId="9" xfId="0" applyFont="1" applyBorder="1" applyAlignment="1">
      <alignment horizontal="justify" vertical="center" wrapText="1"/>
    </xf>
    <xf numFmtId="0" fontId="38" fillId="0" borderId="10" xfId="0" applyFont="1" applyBorder="1" applyAlignment="1">
      <alignment horizontal="justify" vertical="center" wrapText="1"/>
    </xf>
    <xf numFmtId="0" fontId="161" fillId="0" borderId="0" xfId="0" applyFont="1" applyFill="1" applyAlignment="1"/>
  </cellXfs>
  <cellStyles count="147">
    <cellStyle name="2x indented GHG Textfiels" xfId="4"/>
    <cellStyle name="40% - Ênfase3 2" xfId="5"/>
    <cellStyle name="40% - Ênfase3 2 2" xfId="6"/>
    <cellStyle name="40% - Ênfase3 3" xfId="7"/>
    <cellStyle name="5x indented GHG Textfiels" xfId="8"/>
    <cellStyle name="Biomassa" xfId="9"/>
    <cellStyle name="Bold GHG Numbers (0.00)" xfId="10"/>
    <cellStyle name="Comma 10" xfId="11"/>
    <cellStyle name="Comma 11" xfId="12"/>
    <cellStyle name="Comma 11 2" xfId="13"/>
    <cellStyle name="Comma 12" xfId="14"/>
    <cellStyle name="Comma 12 2" xfId="15"/>
    <cellStyle name="Comma 13" xfId="16"/>
    <cellStyle name="Comma 13 2" xfId="17"/>
    <cellStyle name="Comma 14" xfId="18"/>
    <cellStyle name="Comma 15" xfId="19"/>
    <cellStyle name="Comma 16" xfId="20"/>
    <cellStyle name="Comma 17" xfId="21"/>
    <cellStyle name="Comma 2" xfId="22"/>
    <cellStyle name="Comma 2 2" xfId="23"/>
    <cellStyle name="Comma 3" xfId="24"/>
    <cellStyle name="Comma 3 2" xfId="25"/>
    <cellStyle name="Comma 4" xfId="26"/>
    <cellStyle name="Comma 4 2" xfId="27"/>
    <cellStyle name="Comma 5" xfId="28"/>
    <cellStyle name="Comma 6" xfId="29"/>
    <cellStyle name="Comma 7" xfId="30"/>
    <cellStyle name="Comma 8" xfId="31"/>
    <cellStyle name="Comma 9" xfId="32"/>
    <cellStyle name="Comma0" xfId="33"/>
    <cellStyle name="Corner heading" xfId="34"/>
    <cellStyle name="Currency 10" xfId="35"/>
    <cellStyle name="Currency 11" xfId="36"/>
    <cellStyle name="Currency 12" xfId="37"/>
    <cellStyle name="Currency 12 2" xfId="38"/>
    <cellStyle name="Currency 13" xfId="39"/>
    <cellStyle name="Currency 13 2" xfId="40"/>
    <cellStyle name="Currency 14" xfId="41"/>
    <cellStyle name="Currency 14 2" xfId="42"/>
    <cellStyle name="Currency 15" xfId="43"/>
    <cellStyle name="Currency 15 2" xfId="44"/>
    <cellStyle name="Currency 2" xfId="45"/>
    <cellStyle name="Currency 2 2" xfId="46"/>
    <cellStyle name="Currency 3" xfId="47"/>
    <cellStyle name="Currency 3 2" xfId="48"/>
    <cellStyle name="Currency 4" xfId="49"/>
    <cellStyle name="Currency 4 2" xfId="50"/>
    <cellStyle name="Currency 5" xfId="51"/>
    <cellStyle name="Currency 5 2" xfId="52"/>
    <cellStyle name="Currency 6" xfId="53"/>
    <cellStyle name="Currency 7" xfId="54"/>
    <cellStyle name="Currency 8" xfId="55"/>
    <cellStyle name="Currency 9" xfId="56"/>
    <cellStyle name="Currency0" xfId="57"/>
    <cellStyle name="Data" xfId="58"/>
    <cellStyle name="Data no deci" xfId="59"/>
    <cellStyle name="Data Superscript" xfId="60"/>
    <cellStyle name="Data_1-1A-Regular" xfId="61"/>
    <cellStyle name="Data-one deci" xfId="62"/>
    <cellStyle name="Date" xfId="63"/>
    <cellStyle name="Editáveis" xfId="64"/>
    <cellStyle name="Entrada" xfId="1" builtinId="20"/>
    <cellStyle name="Escopo 1" xfId="65"/>
    <cellStyle name="Escopo 2" xfId="66"/>
    <cellStyle name="Escopo 3" xfId="67"/>
    <cellStyle name="Escopos somados" xfId="68"/>
    <cellStyle name="Euro" xfId="69"/>
    <cellStyle name="Exemplo" xfId="70"/>
    <cellStyle name="Fixed" xfId="71"/>
    <cellStyle name="Headline" xfId="72"/>
    <cellStyle name="Hed Side" xfId="73"/>
    <cellStyle name="Hed Side bold" xfId="74"/>
    <cellStyle name="Hed Side Indent" xfId="75"/>
    <cellStyle name="Hed Side Regular" xfId="76"/>
    <cellStyle name="Hed Side_1-1A-Regular" xfId="77"/>
    <cellStyle name="Hed Top" xfId="78"/>
    <cellStyle name="Hed Top - SECTION" xfId="79"/>
    <cellStyle name="Hed Top_3-new4" xfId="80"/>
    <cellStyle name="Hiperlink" xfId="138" builtinId="8"/>
    <cellStyle name="Hiperlink Visitado" xfId="139" builtinId="9" hidden="1"/>
    <cellStyle name="Hiperlink Visitado" xfId="140" builtinId="9" hidden="1"/>
    <cellStyle name="Hiperlink Visitado" xfId="141" builtinId="9" hidden="1"/>
    <cellStyle name="Hiperlink Visitado" xfId="142" builtinId="9" hidden="1"/>
    <cellStyle name="Hiperlink Visitado" xfId="143" builtinId="9" hidden="1"/>
    <cellStyle name="Hiperlink Visitado" xfId="144" builtinId="9" hidden="1"/>
    <cellStyle name="Hiperlink Visitado" xfId="145" builtinId="9" hidden="1"/>
    <cellStyle name="Hiperlink Visitado" xfId="146" builtinId="9" hidden="1"/>
    <cellStyle name="Hyperlink 2" xfId="81"/>
    <cellStyle name="Hyperlink 3" xfId="82"/>
    <cellStyle name="Hyperlink 4" xfId="137"/>
    <cellStyle name="Milliers [0]_Annex_comb_guideline_version4-2" xfId="83"/>
    <cellStyle name="Milliers_Annex_comb_guideline_version4-2" xfId="84"/>
    <cellStyle name="Moeda" xfId="3" builtinId="4"/>
    <cellStyle name="Moeda 2" xfId="85"/>
    <cellStyle name="Monétaire [0]_Annex comb guideline 4-7" xfId="86"/>
    <cellStyle name="Monétaire_Annex_comb_guideline_version4-2" xfId="87"/>
    <cellStyle name="Normal" xfId="0" builtinId="0"/>
    <cellStyle name="Normal 2" xfId="88"/>
    <cellStyle name="Normal 2 2" xfId="89"/>
    <cellStyle name="Normal 3" xfId="90"/>
    <cellStyle name="Normal 3 2" xfId="91"/>
    <cellStyle name="Normal 4" xfId="92"/>
    <cellStyle name="Normal 4 2" xfId="93"/>
    <cellStyle name="Normal 5" xfId="94"/>
    <cellStyle name="Normal 5 2" xfId="95"/>
    <cellStyle name="Normal 6" xfId="96"/>
    <cellStyle name="Normal 7" xfId="97"/>
    <cellStyle name="Normal GHG Textfiels Bold" xfId="98"/>
    <cellStyle name="Normal GHG whole table" xfId="99"/>
    <cellStyle name="Normal GHG-Shade" xfId="100"/>
    <cellStyle name="Pattern" xfId="101"/>
    <cellStyle name="Percent 2" xfId="102"/>
    <cellStyle name="Percent 2 2" xfId="103"/>
    <cellStyle name="Percent 3" xfId="104"/>
    <cellStyle name="Porcentagem" xfId="136" builtinId="5"/>
    <cellStyle name="Porcentagem 2" xfId="105"/>
    <cellStyle name="Reference" xfId="106"/>
    <cellStyle name="Row heading" xfId="107"/>
    <cellStyle name="Saída" xfId="2" builtinId="21"/>
    <cellStyle name="Separador de milhares 2" xfId="108"/>
    <cellStyle name="Separador de milhares 2 2" xfId="109"/>
    <cellStyle name="Source Hed" xfId="110"/>
    <cellStyle name="Source Letter" xfId="111"/>
    <cellStyle name="Source Superscript" xfId="112"/>
    <cellStyle name="Source Text" xfId="113"/>
    <cellStyle name="Standard_CRF Inventar" xfId="114"/>
    <cellStyle name="State" xfId="115"/>
    <cellStyle name="Superscript" xfId="116"/>
    <cellStyle name="Superscript- regular" xfId="117"/>
    <cellStyle name="Table Data" xfId="118"/>
    <cellStyle name="Table Head Top" xfId="119"/>
    <cellStyle name="Table Hed Side" xfId="120"/>
    <cellStyle name="Table Title" xfId="121"/>
    <cellStyle name="Title Text" xfId="122"/>
    <cellStyle name="Title Text 1" xfId="123"/>
    <cellStyle name="Title Text 2" xfId="124"/>
    <cellStyle name="Title-1" xfId="125"/>
    <cellStyle name="Title-2" xfId="126"/>
    <cellStyle name="Title-3" xfId="127"/>
    <cellStyle name="Vírgula" xfId="135" builtinId="3"/>
    <cellStyle name="Vírgula 2" xfId="128"/>
    <cellStyle name="Vírgula 3" xfId="129"/>
    <cellStyle name="Wrap" xfId="130"/>
    <cellStyle name="Wrap Bold" xfId="131"/>
    <cellStyle name="Wrap Title" xfId="132"/>
    <cellStyle name="Wrap_NTS99-~11" xfId="133"/>
    <cellStyle name="標準_CRF1999" xfId="134"/>
  </cellStyles>
  <dxfs count="9">
    <dxf>
      <fill>
        <patternFill>
          <bgColor theme="6" tint="0.59996337778862885"/>
        </patternFill>
      </fill>
    </dxf>
    <dxf>
      <fill>
        <patternFill>
          <bgColor theme="6" tint="0.59996337778862885"/>
        </patternFill>
      </fill>
    </dxf>
    <dxf>
      <fill>
        <patternFill>
          <bgColor theme="1"/>
        </patternFill>
      </fill>
    </dxf>
    <dxf>
      <font>
        <color theme="6" tint="0.39994506668294322"/>
      </font>
    </dxf>
    <dxf>
      <fill>
        <patternFill>
          <bgColor theme="6" tint="0.59996337778862885"/>
        </patternFill>
      </fill>
    </dxf>
    <dxf>
      <fill>
        <patternFill>
          <bgColor theme="1"/>
        </patternFill>
      </fill>
    </dxf>
    <dxf>
      <fill>
        <patternFill>
          <bgColor theme="6" tint="0.59996337778862885"/>
        </patternFill>
      </fill>
    </dxf>
    <dxf>
      <fill>
        <patternFill>
          <bgColor theme="6" tint="0.59996337778862885"/>
        </patternFill>
      </fill>
    </dxf>
    <dxf>
      <font>
        <color theme="1" tint="0.499984740745262"/>
      </font>
      <fill>
        <patternFill patternType="solid">
          <fgColor theme="1" tint="0.499984740745262"/>
          <bgColor theme="1" tint="0.499984740745262"/>
        </patternFill>
      </fill>
    </dxf>
  </dxfs>
  <tableStyles count="0" defaultTableStyle="TableStyleMedium2" defaultPivotStyle="PivotStyleLight16"/>
  <colors>
    <mruColors>
      <color rgb="FF31A6DB"/>
      <color rgb="FFFDC300"/>
      <color rgb="FF1E7EAA"/>
      <color rgb="FF003978"/>
      <color rgb="FF95C11E"/>
      <color rgb="FF225B83"/>
      <color rgb="FF6F6F6E"/>
      <color rgb="FF259FD5"/>
      <color rgb="FF00A039"/>
      <color rgb="FF485721"/>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pn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jpeg"/><Relationship Id="rId2" Type="http://schemas.openxmlformats.org/officeDocument/2006/relationships/image" Target="../media/image5.jpeg"/><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2</xdr:col>
      <xdr:colOff>285748</xdr:colOff>
      <xdr:row>1</xdr:row>
      <xdr:rowOff>31173</xdr:rowOff>
    </xdr:from>
    <xdr:to>
      <xdr:col>4</xdr:col>
      <xdr:colOff>72736</xdr:colOff>
      <xdr:row>3</xdr:row>
      <xdr:rowOff>160846</xdr:rowOff>
    </xdr:to>
    <xdr:pic>
      <xdr:nvPicPr>
        <xdr:cNvPr id="3" name="Imagem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04948" y="221673"/>
          <a:ext cx="1006188" cy="510673"/>
        </a:xfrm>
        <a:prstGeom prst="rect">
          <a:avLst/>
        </a:prstGeom>
      </xdr:spPr>
    </xdr:pic>
    <xdr:clientData/>
  </xdr:twoCellAnchor>
  <xdr:twoCellAnchor editAs="oneCell">
    <xdr:from>
      <xdr:col>0</xdr:col>
      <xdr:colOff>76200</xdr:colOff>
      <xdr:row>1</xdr:row>
      <xdr:rowOff>70491</xdr:rowOff>
    </xdr:from>
    <xdr:to>
      <xdr:col>2</xdr:col>
      <xdr:colOff>389658</xdr:colOff>
      <xdr:row>3</xdr:row>
      <xdr:rowOff>96117</xdr:rowOff>
    </xdr:to>
    <xdr:pic>
      <xdr:nvPicPr>
        <xdr:cNvPr id="4" name="Imagem 3"/>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76200" y="260991"/>
          <a:ext cx="1532658" cy="406626"/>
        </a:xfrm>
        <a:prstGeom prst="rect">
          <a:avLst/>
        </a:prstGeom>
      </xdr:spPr>
    </xdr:pic>
    <xdr:clientData/>
  </xdr:twoCellAnchor>
  <xdr:twoCellAnchor editAs="oneCell">
    <xdr:from>
      <xdr:col>4</xdr:col>
      <xdr:colOff>116898</xdr:colOff>
      <xdr:row>0</xdr:row>
      <xdr:rowOff>142875</xdr:rowOff>
    </xdr:from>
    <xdr:to>
      <xdr:col>4</xdr:col>
      <xdr:colOff>117763</xdr:colOff>
      <xdr:row>3</xdr:row>
      <xdr:rowOff>269123</xdr:rowOff>
    </xdr:to>
    <xdr:pic>
      <xdr:nvPicPr>
        <xdr:cNvPr id="5" name="Imagem 4"/>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55298" y="142875"/>
          <a:ext cx="865" cy="697748"/>
        </a:xfrm>
        <a:prstGeom prst="rect">
          <a:avLst/>
        </a:prstGeom>
      </xdr:spPr>
    </xdr:pic>
    <xdr:clientData/>
  </xdr:twoCellAnchor>
  <xdr:twoCellAnchor editAs="oneCell">
    <xdr:from>
      <xdr:col>4</xdr:col>
      <xdr:colOff>590550</xdr:colOff>
      <xdr:row>0</xdr:row>
      <xdr:rowOff>152400</xdr:rowOff>
    </xdr:from>
    <xdr:to>
      <xdr:col>10</xdr:col>
      <xdr:colOff>543790</xdr:colOff>
      <xdr:row>3</xdr:row>
      <xdr:rowOff>278648</xdr:rowOff>
    </xdr:to>
    <xdr:pic>
      <xdr:nvPicPr>
        <xdr:cNvPr id="6" name="Imagem 5"/>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028950" y="152400"/>
          <a:ext cx="3610840" cy="697748"/>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28575</xdr:colOff>
      <xdr:row>2</xdr:row>
      <xdr:rowOff>49645</xdr:rowOff>
    </xdr:from>
    <xdr:to>
      <xdr:col>0</xdr:col>
      <xdr:colOff>1152525</xdr:colOff>
      <xdr:row>4</xdr:row>
      <xdr:rowOff>180769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449695"/>
          <a:ext cx="1123950" cy="53117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11</xdr:col>
      <xdr:colOff>447675</xdr:colOff>
      <xdr:row>1</xdr:row>
      <xdr:rowOff>114300</xdr:rowOff>
    </xdr:from>
    <xdr:to>
      <xdr:col>12</xdr:col>
      <xdr:colOff>733425</xdr:colOff>
      <xdr:row>4</xdr:row>
      <xdr:rowOff>129165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496425" y="352425"/>
          <a:ext cx="1447800" cy="71971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5</xdr:col>
      <xdr:colOff>2562224</xdr:colOff>
      <xdr:row>2</xdr:row>
      <xdr:rowOff>5998</xdr:rowOff>
    </xdr:from>
    <xdr:to>
      <xdr:col>6</xdr:col>
      <xdr:colOff>510782</xdr:colOff>
      <xdr:row>4</xdr:row>
      <xdr:rowOff>190499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67824" y="386998"/>
          <a:ext cx="1196583" cy="56550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12</xdr:col>
      <xdr:colOff>321734</xdr:colOff>
      <xdr:row>1</xdr:row>
      <xdr:rowOff>71967</xdr:rowOff>
    </xdr:from>
    <xdr:to>
      <xdr:col>13</xdr:col>
      <xdr:colOff>959909</xdr:colOff>
      <xdr:row>4</xdr:row>
      <xdr:rowOff>47674</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9909" y="310092"/>
          <a:ext cx="1562100" cy="728182"/>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133350</xdr:colOff>
      <xdr:row>1</xdr:row>
      <xdr:rowOff>66675</xdr:rowOff>
    </xdr:from>
    <xdr:to>
      <xdr:col>12</xdr:col>
      <xdr:colOff>476250</xdr:colOff>
      <xdr:row>4</xdr:row>
      <xdr:rowOff>167265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963150" y="257175"/>
          <a:ext cx="1543050" cy="72924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oneCellAnchor>
    <xdr:from>
      <xdr:col>12</xdr:col>
      <xdr:colOff>123824</xdr:colOff>
      <xdr:row>1</xdr:row>
      <xdr:rowOff>104775</xdr:rowOff>
    </xdr:from>
    <xdr:ext cx="1514475" cy="715200"/>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86774" y="304800"/>
          <a:ext cx="1514475" cy="715200"/>
        </a:xfrm>
        <a:prstGeom prst="rect">
          <a:avLst/>
        </a:prstGeom>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3</xdr:col>
      <xdr:colOff>85725</xdr:colOff>
      <xdr:row>1</xdr:row>
      <xdr:rowOff>133349</xdr:rowOff>
    </xdr:from>
    <xdr:to>
      <xdr:col>3</xdr:col>
      <xdr:colOff>1447383</xdr:colOff>
      <xdr:row>4</xdr:row>
      <xdr:rowOff>205364</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343650" y="342899"/>
          <a:ext cx="1361658" cy="64351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11</xdr:col>
      <xdr:colOff>57149</xdr:colOff>
      <xdr:row>1</xdr:row>
      <xdr:rowOff>24238</xdr:rowOff>
    </xdr:from>
    <xdr:to>
      <xdr:col>11</xdr:col>
      <xdr:colOff>1285874</xdr:colOff>
      <xdr:row>3</xdr:row>
      <xdr:rowOff>126783</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91674" y="271888"/>
          <a:ext cx="1228725" cy="57879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1</xdr:row>
      <xdr:rowOff>171450</xdr:rowOff>
    </xdr:from>
    <xdr:to>
      <xdr:col>3</xdr:col>
      <xdr:colOff>381000</xdr:colOff>
      <xdr:row>2</xdr:row>
      <xdr:rowOff>707809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361950"/>
          <a:ext cx="1543050" cy="72685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57150</xdr:colOff>
      <xdr:row>0</xdr:row>
      <xdr:rowOff>0</xdr:rowOff>
    </xdr:from>
    <xdr:to>
      <xdr:col>21</xdr:col>
      <xdr:colOff>152400</xdr:colOff>
      <xdr:row>4</xdr:row>
      <xdr:rowOff>138430</xdr:rowOff>
    </xdr:to>
    <xdr:grpSp>
      <xdr:nvGrpSpPr>
        <xdr:cNvPr id="9" name="Grupo 8"/>
        <xdr:cNvGrpSpPr/>
      </xdr:nvGrpSpPr>
      <xdr:grpSpPr>
        <a:xfrm>
          <a:off x="57150" y="0"/>
          <a:ext cx="11782425" cy="900430"/>
          <a:chOff x="57150" y="0"/>
          <a:chExt cx="11782425" cy="900430"/>
        </a:xfrm>
      </xdr:grpSpPr>
      <xdr:pic>
        <xdr:nvPicPr>
          <xdr:cNvPr id="3" name="Imagem 2" descr="C:\Users\Bruno\Downloads\Cabecalho Paisagem11.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0"/>
            <a:ext cx="11782425" cy="900430"/>
          </a:xfrm>
          <a:prstGeom prst="rect">
            <a:avLst/>
          </a:prstGeom>
          <a:noFill/>
          <a:ln>
            <a:noFill/>
          </a:ln>
        </xdr:spPr>
      </xdr:pic>
      <xdr:pic>
        <xdr:nvPicPr>
          <xdr:cNvPr id="4" name="Imagem 3" descr="7421148a-c3fa-43cb-9c2c-e3ef677b9cec@fgv"/>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564563" y="323849"/>
            <a:ext cx="171291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pic>
        <xdr:nvPicPr>
          <xdr:cNvPr id="6" name="Imagem 5"/>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344151" y="238125"/>
            <a:ext cx="1255454" cy="567314"/>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5</xdr:col>
      <xdr:colOff>82960</xdr:colOff>
      <xdr:row>2</xdr:row>
      <xdr:rowOff>142875</xdr:rowOff>
    </xdr:from>
    <xdr:to>
      <xdr:col>6</xdr:col>
      <xdr:colOff>498681</xdr:colOff>
      <xdr:row>6</xdr:row>
      <xdr:rowOff>9526</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274710" y="542925"/>
          <a:ext cx="1358696" cy="638176"/>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2</xdr:col>
          <xdr:colOff>66675</xdr:colOff>
          <xdr:row>18</xdr:row>
          <xdr:rowOff>38100</xdr:rowOff>
        </xdr:from>
        <xdr:to>
          <xdr:col>2</xdr:col>
          <xdr:colOff>2695575</xdr:colOff>
          <xdr:row>18</xdr:row>
          <xdr:rowOff>257175</xdr:rowOff>
        </xdr:to>
        <xdr:sp macro="" textlink="">
          <xdr:nvSpPr>
            <xdr:cNvPr id="1053" name="Check Box 29" hidden="1">
              <a:extLst>
                <a:ext uri="{63B3BB69-23CF-44E3-9099-C40C66FF867C}">
                  <a14:compatExt spid="_x0000_s1053"/>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Provisão de Água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190500</xdr:rowOff>
        </xdr:from>
        <xdr:to>
          <xdr:col>2</xdr:col>
          <xdr:colOff>2695575</xdr:colOff>
          <xdr:row>18</xdr:row>
          <xdr:rowOff>409575</xdr:rowOff>
        </xdr:to>
        <xdr:sp macro="" textlink="">
          <xdr:nvSpPr>
            <xdr:cNvPr id="1054" name="Check Box 30" hidden="1">
              <a:extLst>
                <a:ext uri="{63B3BB69-23CF-44E3-9099-C40C66FF867C}">
                  <a14:compatExt spid="_x0000_s1054"/>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Provisão de Biomassa Combustível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342900</xdr:rowOff>
        </xdr:from>
        <xdr:to>
          <xdr:col>2</xdr:col>
          <xdr:colOff>2695575</xdr:colOff>
          <xdr:row>18</xdr:row>
          <xdr:rowOff>561975</xdr:rowOff>
        </xdr:to>
        <xdr:sp macro="" textlink="">
          <xdr:nvSpPr>
            <xdr:cNvPr id="1055" name="Check Box 31" hidden="1">
              <a:extLst>
                <a:ext uri="{63B3BB69-23CF-44E3-9099-C40C66FF867C}">
                  <a14:compatExt spid="_x0000_s1055"/>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Regulação da Qualidade da Água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495300</xdr:rowOff>
        </xdr:from>
        <xdr:to>
          <xdr:col>2</xdr:col>
          <xdr:colOff>2695575</xdr:colOff>
          <xdr:row>18</xdr:row>
          <xdr:rowOff>714375</xdr:rowOff>
        </xdr:to>
        <xdr:sp macro="" textlink="">
          <xdr:nvSpPr>
            <xdr:cNvPr id="1056" name="Check Box 32" hidden="1">
              <a:extLst>
                <a:ext uri="{63B3BB69-23CF-44E3-9099-C40C66FF867C}">
                  <a14:compatExt spid="_x0000_s1056"/>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Assimilação de Efluentes Líquidos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647700</xdr:rowOff>
        </xdr:from>
        <xdr:to>
          <xdr:col>2</xdr:col>
          <xdr:colOff>2695575</xdr:colOff>
          <xdr:row>18</xdr:row>
          <xdr:rowOff>866775</xdr:rowOff>
        </xdr:to>
        <xdr:sp macro="" textlink="">
          <xdr:nvSpPr>
            <xdr:cNvPr id="1057" name="Check Box 33" hidden="1">
              <a:extLst>
                <a:ext uri="{63B3BB69-23CF-44E3-9099-C40C66FF867C}">
                  <a14:compatExt spid="_x0000_s1057"/>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Regulação do Clima Global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800100</xdr:rowOff>
        </xdr:from>
        <xdr:to>
          <xdr:col>2</xdr:col>
          <xdr:colOff>2695575</xdr:colOff>
          <xdr:row>18</xdr:row>
          <xdr:rowOff>1019175</xdr:rowOff>
        </xdr:to>
        <xdr:sp macro="" textlink="">
          <xdr:nvSpPr>
            <xdr:cNvPr id="1058" name="Check Box 34" hidden="1">
              <a:extLst>
                <a:ext uri="{63B3BB69-23CF-44E3-9099-C40C66FF867C}">
                  <a14:compatExt spid="_x0000_s1058"/>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Regulação da Polinização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952500</xdr:rowOff>
        </xdr:from>
        <xdr:to>
          <xdr:col>2</xdr:col>
          <xdr:colOff>2695575</xdr:colOff>
          <xdr:row>18</xdr:row>
          <xdr:rowOff>1171575</xdr:rowOff>
        </xdr:to>
        <xdr:sp macro="" textlink="">
          <xdr:nvSpPr>
            <xdr:cNvPr id="1059" name="Check Box 35" hidden="1">
              <a:extLst>
                <a:ext uri="{63B3BB69-23CF-44E3-9099-C40C66FF867C}">
                  <a14:compatExt spid="_x0000_s1059"/>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Regulação da Erosão do Solo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18</xdr:row>
          <xdr:rowOff>1104900</xdr:rowOff>
        </xdr:from>
        <xdr:to>
          <xdr:col>2</xdr:col>
          <xdr:colOff>2695575</xdr:colOff>
          <xdr:row>18</xdr:row>
          <xdr:rowOff>1323975</xdr:rowOff>
        </xdr:to>
        <xdr:sp macro="" textlink="">
          <xdr:nvSpPr>
            <xdr:cNvPr id="1060" name="Check Box 36" hidden="1">
              <a:extLst>
                <a:ext uri="{63B3BB69-23CF-44E3-9099-C40C66FF867C}">
                  <a14:compatExt spid="_x0000_s1060"/>
                </a:ext>
              </a:extLst>
            </xdr:cNvPr>
            <xdr:cNvSpPr/>
          </xdr:nvSpPr>
          <xdr:spPr>
            <a:xfrm>
              <a:off x="0" y="0"/>
              <a:ext cx="0" cy="0"/>
            </a:xfrm>
            <a:prstGeom prst="rect">
              <a:avLst/>
            </a:prstGeom>
          </xdr:spPr>
          <xdr:txBody>
            <a:bodyPr vertOverflow="clip" wrap="square" lIns="27432" tIns="18288" rIns="0" bIns="18288" anchor="ctr" upright="1"/>
            <a:lstStyle/>
            <a:p>
              <a:pPr algn="l" rtl="0">
                <a:defRPr sz="1000"/>
              </a:pPr>
              <a:r>
                <a:rPr lang="pt-BR" sz="800" b="0" i="0" u="none" strike="noStrike" baseline="0">
                  <a:solidFill>
                    <a:srgbClr val="000000"/>
                  </a:solidFill>
                  <a:latin typeface="Tahoma"/>
                  <a:ea typeface="Tahoma"/>
                  <a:cs typeface="Tahoma"/>
                </a:rPr>
                <a:t>Recreação e Turismo</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10</xdr:col>
      <xdr:colOff>812697</xdr:colOff>
      <xdr:row>1</xdr:row>
      <xdr:rowOff>66675</xdr:rowOff>
    </xdr:from>
    <xdr:to>
      <xdr:col>11</xdr:col>
      <xdr:colOff>1251154</xdr:colOff>
      <xdr:row>3</xdr:row>
      <xdr:rowOff>180975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1322" y="304800"/>
          <a:ext cx="1419532" cy="6667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11</xdr:col>
      <xdr:colOff>123825</xdr:colOff>
      <xdr:row>1</xdr:row>
      <xdr:rowOff>104775</xdr:rowOff>
    </xdr:from>
    <xdr:to>
      <xdr:col>11</xdr:col>
      <xdr:colOff>1666875</xdr:colOff>
      <xdr:row>2</xdr:row>
      <xdr:rowOff>595890</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277350" y="342900"/>
          <a:ext cx="1543050" cy="729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28575</xdr:colOff>
      <xdr:row>1</xdr:row>
      <xdr:rowOff>28575</xdr:rowOff>
    </xdr:from>
    <xdr:to>
      <xdr:col>9</xdr:col>
      <xdr:colOff>390525</xdr:colOff>
      <xdr:row>4</xdr:row>
      <xdr:rowOff>129165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877050" y="266700"/>
          <a:ext cx="1543050" cy="729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57150</xdr:colOff>
      <xdr:row>1</xdr:row>
      <xdr:rowOff>123825</xdr:rowOff>
    </xdr:from>
    <xdr:to>
      <xdr:col>13</xdr:col>
      <xdr:colOff>161925</xdr:colOff>
      <xdr:row>3</xdr:row>
      <xdr:rowOff>5340</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667875" y="361950"/>
          <a:ext cx="1552575" cy="72924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66675</xdr:colOff>
      <xdr:row>3</xdr:row>
      <xdr:rowOff>21591</xdr:rowOff>
    </xdr:from>
    <xdr:to>
      <xdr:col>0</xdr:col>
      <xdr:colOff>1181100</xdr:colOff>
      <xdr:row>5</xdr:row>
      <xdr:rowOff>157739</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621666"/>
          <a:ext cx="1114425" cy="52667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11</xdr:col>
      <xdr:colOff>647700</xdr:colOff>
      <xdr:row>1</xdr:row>
      <xdr:rowOff>114300</xdr:rowOff>
    </xdr:from>
    <xdr:to>
      <xdr:col>13</xdr:col>
      <xdr:colOff>133350</xdr:colOff>
      <xdr:row>3</xdr:row>
      <xdr:rowOff>14865</xdr:rowOff>
    </xdr:to>
    <xdr:pic>
      <xdr:nvPicPr>
        <xdr:cNvPr id="2" name="Image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705975" y="352425"/>
          <a:ext cx="1447800" cy="7292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fernandarocha/Desktop/E/Users/Jacobson%20Max/Desktop/fichas%20t&#233;cnicas/Ficha%20Tecnica%20Biogas%20(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fernandarocha/Desktop/E/Users/Jacobson%20Max/Desktop/fichas%20t&#233;cnicas/Ferramenta_GHG_Protocol_v2012.1.0.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fernandarocha/Desktop/E/Users/Jacobson%20Max/Desktop/fichas%20t&#233;cnicas/AE.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fernandarocha/Desktop/E/Users/acer/Dropbox/Cr&#233;dito%20verde/Fichas%20Tecnicas/01%20Restauro%20de%20biomas%20-%20florestas%20nativas/Ficha%20Tecnica%20Desmatamento%20Evitado%201B.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fernandarocha/Desktop/E/Users/Jacobson%20Max/Downloads/Ferramenta_GHG_Protocol_v2012.1.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pa 1"/>
      <sheetName val="Etapa 2"/>
      <sheetName val="Resíduos sólidos"/>
      <sheetName val="Dados"/>
      <sheetName val="Fatores de Emissão"/>
    </sheetNames>
    <sheetDataSet>
      <sheetData sheetId="0"/>
      <sheetData sheetId="1"/>
      <sheetData sheetId="2">
        <row r="119">
          <cell r="E119">
            <v>0</v>
          </cell>
        </row>
      </sheetData>
      <sheetData sheetId="3">
        <row r="15">
          <cell r="B15" t="str">
            <v>Selecione</v>
          </cell>
          <cell r="C15" t="str">
            <v>Selecione</v>
          </cell>
        </row>
        <row r="16">
          <cell r="B16" t="str">
            <v>Sim</v>
          </cell>
          <cell r="C16" t="str">
            <v>Sim</v>
          </cell>
        </row>
        <row r="17">
          <cell r="B17" t="str">
            <v>Não</v>
          </cell>
          <cell r="C17" t="str">
            <v>Não, será utilizado valor padrão</v>
          </cell>
        </row>
        <row r="19">
          <cell r="B19" t="str">
            <v>Selecione</v>
          </cell>
        </row>
        <row r="20">
          <cell r="B20" t="str">
            <v>≥ 1.000</v>
          </cell>
        </row>
        <row r="21">
          <cell r="B21" t="str">
            <v>&lt;1.000</v>
          </cell>
        </row>
        <row r="23">
          <cell r="B23" t="str">
            <v>Selecione</v>
          </cell>
        </row>
        <row r="24">
          <cell r="B24" t="str">
            <v>&gt;20</v>
          </cell>
        </row>
        <row r="25">
          <cell r="B25" t="str">
            <v>≤20</v>
          </cell>
        </row>
        <row r="27">
          <cell r="B27" t="str">
            <v>Selecione</v>
          </cell>
        </row>
        <row r="28">
          <cell r="B28" t="str">
            <v>Não</v>
          </cell>
        </row>
        <row r="29">
          <cell r="B29" t="str">
            <v>Sim, para geração de energia para a rede</v>
          </cell>
        </row>
        <row r="30">
          <cell r="B30" t="str">
            <v>Sim, para a comercalização de biogás</v>
          </cell>
        </row>
      </sheetData>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agrícolas"/>
      <sheetName val="Resíduos sólidos"/>
      <sheetName val="Efluentes"/>
      <sheetName val="Compra de Energia Elétrica"/>
      <sheetName val="Compra de Energia Térmica"/>
      <sheetName val="Categorias de Escopo 3"/>
      <sheetName val="Transp.&amp; Distribuição(Upstream)"/>
      <sheetName val="Resíduos sólidos da operação"/>
      <sheetName val="Efluentes gerados na operação"/>
      <sheetName val="Viagens a Negócios"/>
      <sheetName val="Transp&amp;Distribuição(Downstream)"/>
      <sheetName val="Resumo"/>
      <sheetName val="Fatores de Emissão"/>
      <sheetName val="Fatores Variáveis"/>
      <sheetName val="Fatores de conversão"/>
      <sheetName val="Transporte Diário Funcionários"/>
      <sheetName val="Transporte de Produtos"/>
      <sheetName val="Melhorias"/>
    </sheetNames>
    <sheetDataSet>
      <sheetData sheetId="0" refreshError="1"/>
      <sheetData sheetId="1" refreshError="1"/>
      <sheetData sheetId="2" refreshError="1">
        <row r="2">
          <cell r="B2" t="str">
            <v>Selecione</v>
          </cell>
          <cell r="D2" t="str">
            <v>Selecione o setor</v>
          </cell>
        </row>
        <row r="3">
          <cell r="B3">
            <v>2012</v>
          </cell>
          <cell r="D3" t="str">
            <v>Energia</v>
          </cell>
          <cell r="F3" t="str">
            <v>Alcatrão</v>
          </cell>
        </row>
        <row r="4">
          <cell r="B4">
            <v>2011</v>
          </cell>
          <cell r="D4" t="str">
            <v>Manufatura ou Construção</v>
          </cell>
          <cell r="F4" t="str">
            <v>Asfaltos</v>
          </cell>
        </row>
        <row r="5">
          <cell r="B5">
            <v>2010</v>
          </cell>
          <cell r="D5" t="str">
            <v>Comercial ou Institucional</v>
          </cell>
          <cell r="F5" t="str">
            <v>Bagaço de Cana</v>
          </cell>
        </row>
        <row r="6">
          <cell r="B6">
            <v>2009</v>
          </cell>
          <cell r="D6" t="str">
            <v>Residencial, Agricultura, Florestal ou Pesca</v>
          </cell>
          <cell r="F6" t="str">
            <v>Biodiesel (B100)</v>
          </cell>
        </row>
        <row r="7">
          <cell r="B7">
            <v>2008</v>
          </cell>
          <cell r="F7" t="str">
            <v>Biogás</v>
          </cell>
        </row>
        <row r="8">
          <cell r="B8">
            <v>2007</v>
          </cell>
          <cell r="F8" t="str">
            <v>Caldo de Cana</v>
          </cell>
        </row>
        <row r="9">
          <cell r="B9">
            <v>2006</v>
          </cell>
          <cell r="F9" t="str">
            <v>Carvão Metalúrgico Importado</v>
          </cell>
        </row>
        <row r="10">
          <cell r="F10" t="str">
            <v>Carvão Metalúrgico Nacional</v>
          </cell>
        </row>
        <row r="11">
          <cell r="F11" t="str">
            <v>Carvão Vapor 3100 kcal / kg</v>
          </cell>
        </row>
        <row r="12">
          <cell r="F12" t="str">
            <v>Carvão Vapor 3300 kcal / kg</v>
          </cell>
        </row>
        <row r="13">
          <cell r="F13" t="str">
            <v>Carvão Vapor 3700 kcal / kg</v>
          </cell>
        </row>
        <row r="14">
          <cell r="F14" t="str">
            <v>Carvão Vapor 4200 kcal / kg</v>
          </cell>
        </row>
        <row r="15">
          <cell r="F15" t="str">
            <v>Carvão Vapor 4500 kcal / kg</v>
          </cell>
        </row>
        <row r="16">
          <cell r="F16" t="str">
            <v>Carvão Vapor 4700 kcal / kg</v>
          </cell>
        </row>
        <row r="17">
          <cell r="F17" t="str">
            <v>Carvão Vapor 5200 kcal / kg</v>
          </cell>
        </row>
        <row r="18">
          <cell r="F18" t="str">
            <v>Carvão Vapor 5900 kcal / kg</v>
          </cell>
        </row>
        <row r="19">
          <cell r="F19" t="str">
            <v>Carvão Vapor 6000 kcal / kg</v>
          </cell>
        </row>
        <row r="20">
          <cell r="F20" t="str">
            <v>Carvão Vapor sem Especificação</v>
          </cell>
        </row>
        <row r="21">
          <cell r="F21" t="str">
            <v>Carvão Vegetal</v>
          </cell>
        </row>
        <row r="22">
          <cell r="F22" t="str">
            <v>Coque de Carvão Mineral</v>
          </cell>
        </row>
        <row r="23">
          <cell r="F23" t="str">
            <v>Coque de Petróleo</v>
          </cell>
        </row>
        <row r="24">
          <cell r="F24" t="str">
            <v>Etano</v>
          </cell>
        </row>
        <row r="25">
          <cell r="F25" t="str">
            <v>Etanol</v>
          </cell>
        </row>
        <row r="26">
          <cell r="F26" t="str">
            <v>Gás de Coqueria</v>
          </cell>
        </row>
        <row r="27">
          <cell r="F27" t="str">
            <v>Gás de Refinaria</v>
          </cell>
        </row>
        <row r="28">
          <cell r="F28" t="str">
            <v>Gás Liquefeito de Petróleo (GLP)</v>
          </cell>
        </row>
        <row r="29">
          <cell r="F29" t="str">
            <v>Gás Natural Seco</v>
          </cell>
        </row>
        <row r="30">
          <cell r="F30" t="str">
            <v>Gás Natural Úmido</v>
          </cell>
        </row>
        <row r="31">
          <cell r="F31" t="str">
            <v>Gasolina Automotiva (comercial)</v>
          </cell>
        </row>
        <row r="32">
          <cell r="F32" t="str">
            <v>Gasolina Automotiva (pura)</v>
          </cell>
        </row>
        <row r="33">
          <cell r="F33" t="str">
            <v>Gasolina de Aviação</v>
          </cell>
        </row>
        <row r="34">
          <cell r="F34" t="str">
            <v>Lenha para Carvoejamento</v>
          </cell>
        </row>
        <row r="35">
          <cell r="F35" t="str">
            <v>Lenha para Queima Direta</v>
          </cell>
        </row>
        <row r="36">
          <cell r="F36" t="str">
            <v>Licor Negro (Lixívia)</v>
          </cell>
        </row>
        <row r="37">
          <cell r="F37" t="str">
            <v>Líquidos de Gás Natural (LGN)</v>
          </cell>
        </row>
        <row r="38">
          <cell r="F38" t="str">
            <v>Lubrificantes</v>
          </cell>
        </row>
        <row r="39">
          <cell r="F39" t="str">
            <v>Melaço</v>
          </cell>
        </row>
        <row r="40">
          <cell r="F40" t="str">
            <v>Nafta</v>
          </cell>
        </row>
        <row r="41">
          <cell r="F41" t="str">
            <v>Óleo Combustível</v>
          </cell>
        </row>
        <row r="42">
          <cell r="F42" t="str">
            <v>Óleo de Xisto</v>
          </cell>
        </row>
        <row r="43">
          <cell r="F43" t="str">
            <v>Óleo Diesel (comercial)</v>
          </cell>
        </row>
        <row r="44">
          <cell r="F44" t="str">
            <v>Óleo Diesel (puro)</v>
          </cell>
        </row>
        <row r="45">
          <cell r="F45" t="str">
            <v>Óleos Residuais</v>
          </cell>
        </row>
        <row r="46">
          <cell r="F46" t="str">
            <v>Outros Produtos de Petróleo</v>
          </cell>
        </row>
        <row r="47">
          <cell r="F47" t="str">
            <v>Parafina</v>
          </cell>
        </row>
        <row r="48">
          <cell r="F48" t="str">
            <v>Petróleo Bruto</v>
          </cell>
        </row>
        <row r="49">
          <cell r="F49" t="str">
            <v>Querosene de Aviação</v>
          </cell>
        </row>
        <row r="50">
          <cell r="F50" t="str">
            <v>Querosene Iluminante</v>
          </cell>
        </row>
        <row r="51">
          <cell r="F51" t="str">
            <v>Resíduos Industriais</v>
          </cell>
        </row>
        <row r="52">
          <cell r="F52" t="str">
            <v>Resíduos Municipais (fração biomassa)</v>
          </cell>
        </row>
        <row r="53">
          <cell r="F53" t="str">
            <v>Resíduos Municipais (fração não-biomassa)</v>
          </cell>
        </row>
        <row r="54">
          <cell r="F54" t="str">
            <v>Resíduos Vegetais</v>
          </cell>
        </row>
        <row r="55">
          <cell r="F55" t="str">
            <v>Solventes</v>
          </cell>
        </row>
        <row r="56">
          <cell r="F56" t="str">
            <v>Turfa</v>
          </cell>
        </row>
        <row r="57">
          <cell r="F57" t="str">
            <v>Xisto Betuminoso e Areias Betuminosas</v>
          </cell>
        </row>
      </sheetData>
      <sheetData sheetId="3" refreshError="1">
        <row r="24">
          <cell r="E24">
            <v>2012</v>
          </cell>
        </row>
      </sheetData>
      <sheetData sheetId="4" refreshError="1">
        <row r="30">
          <cell r="D30" t="str">
            <v>Comercial ou Institucional</v>
          </cell>
        </row>
        <row r="134">
          <cell r="I134">
            <v>2.0669394240000001</v>
          </cell>
          <cell r="J134">
            <v>1.8421919999999999E-4</v>
          </cell>
          <cell r="K134">
            <v>3.6843840000000007E-6</v>
          </cell>
        </row>
        <row r="148">
          <cell r="J148">
            <v>0</v>
          </cell>
          <cell r="K148">
            <v>0</v>
          </cell>
        </row>
        <row r="155">
          <cell r="E155">
            <v>2.0719501862399999E-3</v>
          </cell>
        </row>
        <row r="157">
          <cell r="E157">
            <v>0</v>
          </cell>
        </row>
      </sheetData>
      <sheetData sheetId="5" refreshError="1">
        <row r="50">
          <cell r="AF50" t="str">
            <v/>
          </cell>
          <cell r="AG50" t="str">
            <v/>
          </cell>
          <cell r="AH50">
            <v>0</v>
          </cell>
          <cell r="AI50">
            <v>0</v>
          </cell>
          <cell r="AJ50" t="e">
            <v>#N/A</v>
          </cell>
          <cell r="AK50" t="e">
            <v>#N/A</v>
          </cell>
          <cell r="AL50" t="e">
            <v>#N/A</v>
          </cell>
          <cell r="AM50" t="str">
            <v/>
          </cell>
          <cell r="AN50">
            <v>0</v>
          </cell>
          <cell r="AO50" t="str">
            <v/>
          </cell>
          <cell r="AP50">
            <v>0</v>
          </cell>
          <cell r="AQ50" t="str">
            <v/>
          </cell>
          <cell r="AR50">
            <v>0</v>
          </cell>
          <cell r="AS50" t="str">
            <v/>
          </cell>
          <cell r="AT50" t="str">
            <v/>
          </cell>
          <cell r="AU50">
            <v>0</v>
          </cell>
          <cell r="AV50" t="e">
            <v>#N/A</v>
          </cell>
          <cell r="AW50" t="e">
            <v>#N/A</v>
          </cell>
          <cell r="AX50" t="e">
            <v>#N/A</v>
          </cell>
          <cell r="AY50" t="str">
            <v/>
          </cell>
          <cell r="AZ50">
            <v>0</v>
          </cell>
          <cell r="BA50" t="str">
            <v/>
          </cell>
          <cell r="BB50">
            <v>0</v>
          </cell>
          <cell r="BC50" t="str">
            <v/>
          </cell>
        </row>
        <row r="51">
          <cell r="AF51" t="str">
            <v/>
          </cell>
          <cell r="AG51" t="str">
            <v/>
          </cell>
          <cell r="AH51">
            <v>0</v>
          </cell>
          <cell r="AI51">
            <v>0</v>
          </cell>
          <cell r="AJ51" t="e">
            <v>#N/A</v>
          </cell>
          <cell r="AK51" t="e">
            <v>#N/A</v>
          </cell>
          <cell r="AL51" t="e">
            <v>#N/A</v>
          </cell>
          <cell r="AM51" t="str">
            <v/>
          </cell>
          <cell r="AN51">
            <v>0</v>
          </cell>
          <cell r="AO51" t="str">
            <v/>
          </cell>
          <cell r="AP51">
            <v>0</v>
          </cell>
          <cell r="AQ51" t="str">
            <v/>
          </cell>
          <cell r="AR51">
            <v>0</v>
          </cell>
          <cell r="AS51" t="str">
            <v/>
          </cell>
          <cell r="AT51" t="str">
            <v/>
          </cell>
          <cell r="AU51">
            <v>0</v>
          </cell>
          <cell r="AV51" t="e">
            <v>#N/A</v>
          </cell>
          <cell r="AW51" t="e">
            <v>#N/A</v>
          </cell>
          <cell r="AX51" t="e">
            <v>#N/A</v>
          </cell>
          <cell r="AY51" t="str">
            <v/>
          </cell>
          <cell r="AZ51">
            <v>0</v>
          </cell>
          <cell r="BA51" t="str">
            <v/>
          </cell>
          <cell r="BB51">
            <v>0</v>
          </cell>
          <cell r="BC51" t="str">
            <v/>
          </cell>
        </row>
        <row r="52">
          <cell r="AF52" t="str">
            <v/>
          </cell>
          <cell r="AG52" t="str">
            <v/>
          </cell>
          <cell r="AH52">
            <v>0</v>
          </cell>
          <cell r="AI52">
            <v>0</v>
          </cell>
          <cell r="AJ52" t="e">
            <v>#N/A</v>
          </cell>
          <cell r="AK52" t="e">
            <v>#N/A</v>
          </cell>
          <cell r="AL52" t="e">
            <v>#N/A</v>
          </cell>
          <cell r="AM52" t="str">
            <v/>
          </cell>
          <cell r="AN52">
            <v>0</v>
          </cell>
          <cell r="AO52" t="str">
            <v/>
          </cell>
          <cell r="AP52">
            <v>0</v>
          </cell>
          <cell r="AQ52" t="str">
            <v/>
          </cell>
          <cell r="AR52">
            <v>0</v>
          </cell>
          <cell r="AS52" t="str">
            <v/>
          </cell>
          <cell r="AT52" t="str">
            <v/>
          </cell>
          <cell r="AU52">
            <v>0</v>
          </cell>
          <cell r="AV52" t="e">
            <v>#N/A</v>
          </cell>
          <cell r="AW52" t="e">
            <v>#N/A</v>
          </cell>
          <cell r="AX52" t="e">
            <v>#N/A</v>
          </cell>
          <cell r="AY52" t="str">
            <v/>
          </cell>
          <cell r="AZ52">
            <v>0</v>
          </cell>
          <cell r="BA52" t="str">
            <v/>
          </cell>
          <cell r="BB52">
            <v>0</v>
          </cell>
          <cell r="BC52" t="str">
            <v/>
          </cell>
        </row>
        <row r="53">
          <cell r="AF53" t="str">
            <v/>
          </cell>
          <cell r="AG53" t="str">
            <v/>
          </cell>
          <cell r="AH53">
            <v>0</v>
          </cell>
          <cell r="AI53">
            <v>0</v>
          </cell>
          <cell r="AJ53" t="e">
            <v>#N/A</v>
          </cell>
          <cell r="AK53" t="e">
            <v>#N/A</v>
          </cell>
          <cell r="AL53" t="e">
            <v>#N/A</v>
          </cell>
          <cell r="AM53" t="str">
            <v/>
          </cell>
          <cell r="AN53">
            <v>0</v>
          </cell>
          <cell r="AO53" t="str">
            <v/>
          </cell>
          <cell r="AP53">
            <v>0</v>
          </cell>
          <cell r="AQ53" t="str">
            <v/>
          </cell>
          <cell r="AR53">
            <v>0</v>
          </cell>
          <cell r="AS53" t="str">
            <v/>
          </cell>
          <cell r="AT53" t="str">
            <v/>
          </cell>
          <cell r="AU53">
            <v>0</v>
          </cell>
          <cell r="AV53" t="e">
            <v>#N/A</v>
          </cell>
          <cell r="AW53" t="e">
            <v>#N/A</v>
          </cell>
          <cell r="AX53" t="e">
            <v>#N/A</v>
          </cell>
          <cell r="AY53" t="str">
            <v/>
          </cell>
          <cell r="AZ53">
            <v>0</v>
          </cell>
          <cell r="BA53" t="str">
            <v/>
          </cell>
          <cell r="BB53">
            <v>0</v>
          </cell>
          <cell r="BC53" t="str">
            <v/>
          </cell>
        </row>
        <row r="54">
          <cell r="AF54" t="str">
            <v/>
          </cell>
          <cell r="AG54" t="str">
            <v/>
          </cell>
          <cell r="AH54">
            <v>0</v>
          </cell>
          <cell r="AI54">
            <v>0</v>
          </cell>
          <cell r="AJ54" t="e">
            <v>#N/A</v>
          </cell>
          <cell r="AK54" t="e">
            <v>#N/A</v>
          </cell>
          <cell r="AL54" t="e">
            <v>#N/A</v>
          </cell>
          <cell r="AM54" t="str">
            <v/>
          </cell>
          <cell r="AN54">
            <v>0</v>
          </cell>
          <cell r="AO54" t="str">
            <v/>
          </cell>
          <cell r="AP54">
            <v>0</v>
          </cell>
          <cell r="AQ54" t="str">
            <v/>
          </cell>
          <cell r="AR54">
            <v>0</v>
          </cell>
          <cell r="AS54" t="str">
            <v/>
          </cell>
          <cell r="AT54" t="str">
            <v/>
          </cell>
          <cell r="AU54">
            <v>0</v>
          </cell>
          <cell r="AV54" t="e">
            <v>#N/A</v>
          </cell>
          <cell r="AW54" t="e">
            <v>#N/A</v>
          </cell>
          <cell r="AX54" t="e">
            <v>#N/A</v>
          </cell>
          <cell r="AY54" t="str">
            <v/>
          </cell>
          <cell r="AZ54">
            <v>0</v>
          </cell>
          <cell r="BA54" t="str">
            <v/>
          </cell>
          <cell r="BB54">
            <v>0</v>
          </cell>
          <cell r="BC54" t="str">
            <v/>
          </cell>
        </row>
        <row r="55">
          <cell r="AF55" t="str">
            <v/>
          </cell>
          <cell r="AG55" t="str">
            <v/>
          </cell>
          <cell r="AH55">
            <v>0</v>
          </cell>
          <cell r="AI55">
            <v>0</v>
          </cell>
          <cell r="AJ55" t="e">
            <v>#N/A</v>
          </cell>
          <cell r="AK55" t="e">
            <v>#N/A</v>
          </cell>
          <cell r="AL55" t="e">
            <v>#N/A</v>
          </cell>
          <cell r="AM55" t="str">
            <v/>
          </cell>
          <cell r="AN55">
            <v>0</v>
          </cell>
          <cell r="AO55" t="str">
            <v/>
          </cell>
          <cell r="AP55">
            <v>0</v>
          </cell>
          <cell r="AQ55" t="str">
            <v/>
          </cell>
          <cell r="AR55">
            <v>0</v>
          </cell>
          <cell r="AS55" t="str">
            <v/>
          </cell>
          <cell r="AT55" t="str">
            <v/>
          </cell>
          <cell r="AU55">
            <v>0</v>
          </cell>
          <cell r="AV55" t="e">
            <v>#N/A</v>
          </cell>
          <cell r="AW55" t="e">
            <v>#N/A</v>
          </cell>
          <cell r="AX55" t="e">
            <v>#N/A</v>
          </cell>
          <cell r="AY55" t="str">
            <v/>
          </cell>
          <cell r="AZ55">
            <v>0</v>
          </cell>
          <cell r="BA55" t="str">
            <v/>
          </cell>
          <cell r="BB55">
            <v>0</v>
          </cell>
          <cell r="BC55" t="str">
            <v/>
          </cell>
        </row>
        <row r="56">
          <cell r="AF56" t="str">
            <v/>
          </cell>
          <cell r="AG56" t="str">
            <v/>
          </cell>
          <cell r="AH56">
            <v>0</v>
          </cell>
          <cell r="AI56">
            <v>0</v>
          </cell>
          <cell r="AJ56" t="e">
            <v>#N/A</v>
          </cell>
          <cell r="AK56" t="e">
            <v>#N/A</v>
          </cell>
          <cell r="AL56" t="e">
            <v>#N/A</v>
          </cell>
          <cell r="AM56" t="str">
            <v/>
          </cell>
          <cell r="AN56">
            <v>0</v>
          </cell>
          <cell r="AO56" t="str">
            <v/>
          </cell>
          <cell r="AP56">
            <v>0</v>
          </cell>
          <cell r="AQ56" t="str">
            <v/>
          </cell>
          <cell r="AR56">
            <v>0</v>
          </cell>
          <cell r="AS56" t="str">
            <v/>
          </cell>
          <cell r="AT56" t="str">
            <v/>
          </cell>
          <cell r="AU56">
            <v>0</v>
          </cell>
          <cell r="AV56" t="e">
            <v>#N/A</v>
          </cell>
          <cell r="AW56" t="e">
            <v>#N/A</v>
          </cell>
          <cell r="AX56" t="e">
            <v>#N/A</v>
          </cell>
          <cell r="AY56" t="str">
            <v/>
          </cell>
          <cell r="AZ56">
            <v>0</v>
          </cell>
          <cell r="BA56" t="str">
            <v/>
          </cell>
          <cell r="BB56">
            <v>0</v>
          </cell>
          <cell r="BC56" t="str">
            <v/>
          </cell>
        </row>
        <row r="57">
          <cell r="AF57" t="str">
            <v/>
          </cell>
          <cell r="AG57" t="str">
            <v/>
          </cell>
          <cell r="AH57">
            <v>0</v>
          </cell>
          <cell r="AI57">
            <v>0</v>
          </cell>
          <cell r="AJ57" t="e">
            <v>#N/A</v>
          </cell>
          <cell r="AK57" t="e">
            <v>#N/A</v>
          </cell>
          <cell r="AL57" t="e">
            <v>#N/A</v>
          </cell>
          <cell r="AM57" t="str">
            <v/>
          </cell>
          <cell r="AN57">
            <v>0</v>
          </cell>
          <cell r="AO57" t="str">
            <v/>
          </cell>
          <cell r="AP57">
            <v>0</v>
          </cell>
          <cell r="AQ57" t="str">
            <v/>
          </cell>
          <cell r="AR57">
            <v>0</v>
          </cell>
          <cell r="AS57" t="str">
            <v/>
          </cell>
          <cell r="AT57" t="str">
            <v/>
          </cell>
          <cell r="AU57">
            <v>0</v>
          </cell>
          <cell r="AV57" t="e">
            <v>#N/A</v>
          </cell>
          <cell r="AW57" t="e">
            <v>#N/A</v>
          </cell>
          <cell r="AX57" t="e">
            <v>#N/A</v>
          </cell>
          <cell r="AY57" t="str">
            <v/>
          </cell>
          <cell r="AZ57">
            <v>0</v>
          </cell>
          <cell r="BA57" t="str">
            <v/>
          </cell>
          <cell r="BB57">
            <v>0</v>
          </cell>
          <cell r="BC57" t="str">
            <v/>
          </cell>
        </row>
        <row r="58">
          <cell r="AF58" t="str">
            <v/>
          </cell>
          <cell r="AG58" t="str">
            <v/>
          </cell>
          <cell r="AH58">
            <v>0</v>
          </cell>
          <cell r="AI58">
            <v>0</v>
          </cell>
          <cell r="AJ58" t="e">
            <v>#N/A</v>
          </cell>
          <cell r="AK58" t="e">
            <v>#N/A</v>
          </cell>
          <cell r="AL58" t="e">
            <v>#N/A</v>
          </cell>
          <cell r="AM58" t="str">
            <v/>
          </cell>
          <cell r="AN58">
            <v>0</v>
          </cell>
          <cell r="AO58" t="str">
            <v/>
          </cell>
          <cell r="AP58">
            <v>0</v>
          </cell>
          <cell r="AQ58" t="str">
            <v/>
          </cell>
          <cell r="AR58">
            <v>0</v>
          </cell>
          <cell r="AS58" t="str">
            <v/>
          </cell>
          <cell r="AT58" t="str">
            <v/>
          </cell>
          <cell r="AU58">
            <v>0</v>
          </cell>
          <cell r="AV58" t="e">
            <v>#N/A</v>
          </cell>
          <cell r="AW58" t="e">
            <v>#N/A</v>
          </cell>
          <cell r="AX58" t="e">
            <v>#N/A</v>
          </cell>
          <cell r="AY58" t="str">
            <v/>
          </cell>
          <cell r="AZ58">
            <v>0</v>
          </cell>
          <cell r="BA58" t="str">
            <v/>
          </cell>
          <cell r="BB58">
            <v>0</v>
          </cell>
          <cell r="BC58" t="str">
            <v/>
          </cell>
        </row>
        <row r="59">
          <cell r="AF59" t="str">
            <v/>
          </cell>
          <cell r="AG59" t="str">
            <v/>
          </cell>
          <cell r="AH59">
            <v>0</v>
          </cell>
          <cell r="AI59">
            <v>0</v>
          </cell>
          <cell r="AJ59" t="e">
            <v>#N/A</v>
          </cell>
          <cell r="AK59" t="e">
            <v>#N/A</v>
          </cell>
          <cell r="AL59" t="e">
            <v>#N/A</v>
          </cell>
          <cell r="AM59" t="str">
            <v/>
          </cell>
          <cell r="AN59">
            <v>0</v>
          </cell>
          <cell r="AO59" t="str">
            <v/>
          </cell>
          <cell r="AP59">
            <v>0</v>
          </cell>
          <cell r="AQ59" t="str">
            <v/>
          </cell>
          <cell r="AR59">
            <v>0</v>
          </cell>
          <cell r="AS59" t="str">
            <v/>
          </cell>
          <cell r="AT59" t="str">
            <v/>
          </cell>
          <cell r="AU59">
            <v>0</v>
          </cell>
          <cell r="AV59" t="e">
            <v>#N/A</v>
          </cell>
          <cell r="AW59" t="e">
            <v>#N/A</v>
          </cell>
          <cell r="AX59" t="e">
            <v>#N/A</v>
          </cell>
          <cell r="AY59" t="str">
            <v/>
          </cell>
          <cell r="AZ59">
            <v>0</v>
          </cell>
          <cell r="BA59" t="str">
            <v/>
          </cell>
          <cell r="BB59">
            <v>0</v>
          </cell>
          <cell r="BC59" t="str">
            <v/>
          </cell>
        </row>
        <row r="60">
          <cell r="AF60" t="str">
            <v/>
          </cell>
          <cell r="AG60" t="str">
            <v/>
          </cell>
          <cell r="AH60">
            <v>0</v>
          </cell>
          <cell r="AI60">
            <v>0</v>
          </cell>
          <cell r="AJ60" t="e">
            <v>#N/A</v>
          </cell>
          <cell r="AK60" t="e">
            <v>#N/A</v>
          </cell>
          <cell r="AL60" t="e">
            <v>#N/A</v>
          </cell>
          <cell r="AM60" t="str">
            <v/>
          </cell>
          <cell r="AN60">
            <v>0</v>
          </cell>
          <cell r="AO60" t="str">
            <v/>
          </cell>
          <cell r="AP60">
            <v>0</v>
          </cell>
          <cell r="AQ60" t="str">
            <v/>
          </cell>
          <cell r="AR60">
            <v>0</v>
          </cell>
          <cell r="AS60" t="str">
            <v/>
          </cell>
          <cell r="AT60" t="str">
            <v/>
          </cell>
          <cell r="AU60">
            <v>0</v>
          </cell>
          <cell r="AV60" t="e">
            <v>#N/A</v>
          </cell>
          <cell r="AW60" t="e">
            <v>#N/A</v>
          </cell>
          <cell r="AX60" t="e">
            <v>#N/A</v>
          </cell>
          <cell r="AY60" t="str">
            <v/>
          </cell>
          <cell r="AZ60">
            <v>0</v>
          </cell>
          <cell r="BA60" t="str">
            <v/>
          </cell>
          <cell r="BB60">
            <v>0</v>
          </cell>
          <cell r="BC60" t="str">
            <v/>
          </cell>
        </row>
        <row r="61">
          <cell r="AF61" t="str">
            <v/>
          </cell>
          <cell r="AG61" t="str">
            <v/>
          </cell>
          <cell r="AH61">
            <v>0</v>
          </cell>
          <cell r="AI61">
            <v>0</v>
          </cell>
          <cell r="AJ61" t="e">
            <v>#N/A</v>
          </cell>
          <cell r="AK61" t="e">
            <v>#N/A</v>
          </cell>
          <cell r="AL61" t="e">
            <v>#N/A</v>
          </cell>
          <cell r="AM61" t="str">
            <v/>
          </cell>
          <cell r="AN61">
            <v>0</v>
          </cell>
          <cell r="AO61" t="str">
            <v/>
          </cell>
          <cell r="AP61">
            <v>0</v>
          </cell>
          <cell r="AQ61" t="str">
            <v/>
          </cell>
          <cell r="AR61">
            <v>0</v>
          </cell>
          <cell r="AS61" t="str">
            <v/>
          </cell>
          <cell r="AT61" t="str">
            <v/>
          </cell>
          <cell r="AU61">
            <v>0</v>
          </cell>
          <cell r="AV61" t="e">
            <v>#N/A</v>
          </cell>
          <cell r="AW61" t="e">
            <v>#N/A</v>
          </cell>
          <cell r="AX61" t="e">
            <v>#N/A</v>
          </cell>
          <cell r="AY61" t="str">
            <v/>
          </cell>
          <cell r="AZ61">
            <v>0</v>
          </cell>
          <cell r="BA61" t="str">
            <v/>
          </cell>
          <cell r="BB61">
            <v>0</v>
          </cell>
          <cell r="BC61" t="str">
            <v/>
          </cell>
        </row>
        <row r="62">
          <cell r="AF62" t="str">
            <v/>
          </cell>
          <cell r="AG62" t="str">
            <v/>
          </cell>
          <cell r="AH62">
            <v>0</v>
          </cell>
          <cell r="AI62">
            <v>0</v>
          </cell>
          <cell r="AJ62" t="e">
            <v>#N/A</v>
          </cell>
          <cell r="AK62" t="e">
            <v>#N/A</v>
          </cell>
          <cell r="AL62" t="e">
            <v>#N/A</v>
          </cell>
          <cell r="AM62" t="str">
            <v/>
          </cell>
          <cell r="AN62">
            <v>0</v>
          </cell>
          <cell r="AO62" t="str">
            <v/>
          </cell>
          <cell r="AP62">
            <v>0</v>
          </cell>
          <cell r="AQ62" t="str">
            <v/>
          </cell>
          <cell r="AR62">
            <v>0</v>
          </cell>
          <cell r="AS62" t="str">
            <v/>
          </cell>
          <cell r="AT62" t="str">
            <v/>
          </cell>
          <cell r="AU62">
            <v>0</v>
          </cell>
          <cell r="AV62" t="e">
            <v>#N/A</v>
          </cell>
          <cell r="AW62" t="e">
            <v>#N/A</v>
          </cell>
          <cell r="AX62" t="e">
            <v>#N/A</v>
          </cell>
          <cell r="AY62" t="str">
            <v/>
          </cell>
          <cell r="AZ62">
            <v>0</v>
          </cell>
          <cell r="BA62" t="str">
            <v/>
          </cell>
          <cell r="BB62">
            <v>0</v>
          </cell>
          <cell r="BC62" t="str">
            <v/>
          </cell>
        </row>
        <row r="63">
          <cell r="AF63" t="str">
            <v/>
          </cell>
          <cell r="AG63" t="str">
            <v/>
          </cell>
          <cell r="AH63">
            <v>0</v>
          </cell>
          <cell r="AI63">
            <v>0</v>
          </cell>
          <cell r="AJ63" t="e">
            <v>#N/A</v>
          </cell>
          <cell r="AK63" t="e">
            <v>#N/A</v>
          </cell>
          <cell r="AL63" t="e">
            <v>#N/A</v>
          </cell>
          <cell r="AM63" t="str">
            <v/>
          </cell>
          <cell r="AN63">
            <v>0</v>
          </cell>
          <cell r="AO63" t="str">
            <v/>
          </cell>
          <cell r="AP63">
            <v>0</v>
          </cell>
          <cell r="AQ63" t="str">
            <v/>
          </cell>
          <cell r="AR63">
            <v>0</v>
          </cell>
          <cell r="AS63" t="str">
            <v/>
          </cell>
          <cell r="AT63" t="str">
            <v/>
          </cell>
          <cell r="AU63">
            <v>0</v>
          </cell>
          <cell r="AV63" t="e">
            <v>#N/A</v>
          </cell>
          <cell r="AW63" t="e">
            <v>#N/A</v>
          </cell>
          <cell r="AX63" t="e">
            <v>#N/A</v>
          </cell>
          <cell r="AY63" t="str">
            <v/>
          </cell>
          <cell r="AZ63">
            <v>0</v>
          </cell>
          <cell r="BA63" t="str">
            <v/>
          </cell>
          <cell r="BB63">
            <v>0</v>
          </cell>
          <cell r="BC63" t="str">
            <v/>
          </cell>
        </row>
        <row r="64">
          <cell r="AF64" t="str">
            <v/>
          </cell>
          <cell r="AG64" t="str">
            <v/>
          </cell>
          <cell r="AH64">
            <v>0</v>
          </cell>
          <cell r="AI64">
            <v>0</v>
          </cell>
          <cell r="AJ64" t="e">
            <v>#N/A</v>
          </cell>
          <cell r="AK64" t="e">
            <v>#N/A</v>
          </cell>
          <cell r="AL64" t="e">
            <v>#N/A</v>
          </cell>
          <cell r="AM64" t="str">
            <v/>
          </cell>
          <cell r="AN64">
            <v>0</v>
          </cell>
          <cell r="AO64" t="str">
            <v/>
          </cell>
          <cell r="AP64">
            <v>0</v>
          </cell>
          <cell r="AQ64" t="str">
            <v/>
          </cell>
          <cell r="AR64">
            <v>0</v>
          </cell>
          <cell r="AS64" t="str">
            <v/>
          </cell>
          <cell r="AT64" t="str">
            <v/>
          </cell>
          <cell r="AU64">
            <v>0</v>
          </cell>
          <cell r="AV64" t="e">
            <v>#N/A</v>
          </cell>
          <cell r="AW64" t="e">
            <v>#N/A</v>
          </cell>
          <cell r="AX64" t="e">
            <v>#N/A</v>
          </cell>
          <cell r="AY64" t="str">
            <v/>
          </cell>
          <cell r="AZ64">
            <v>0</v>
          </cell>
          <cell r="BA64" t="str">
            <v/>
          </cell>
          <cell r="BB64">
            <v>0</v>
          </cell>
          <cell r="BC64" t="str">
            <v/>
          </cell>
        </row>
        <row r="65">
          <cell r="AF65" t="str">
            <v/>
          </cell>
          <cell r="AG65" t="str">
            <v/>
          </cell>
          <cell r="AH65">
            <v>0</v>
          </cell>
          <cell r="AI65">
            <v>0</v>
          </cell>
          <cell r="AJ65" t="e">
            <v>#N/A</v>
          </cell>
          <cell r="AK65" t="e">
            <v>#N/A</v>
          </cell>
          <cell r="AL65" t="e">
            <v>#N/A</v>
          </cell>
          <cell r="AM65" t="str">
            <v/>
          </cell>
          <cell r="AN65">
            <v>0</v>
          </cell>
          <cell r="AO65" t="str">
            <v/>
          </cell>
          <cell r="AP65">
            <v>0</v>
          </cell>
          <cell r="AQ65" t="str">
            <v/>
          </cell>
          <cell r="AR65">
            <v>0</v>
          </cell>
          <cell r="AS65" t="str">
            <v/>
          </cell>
          <cell r="AT65" t="str">
            <v/>
          </cell>
          <cell r="AU65">
            <v>0</v>
          </cell>
          <cell r="AV65" t="e">
            <v>#N/A</v>
          </cell>
          <cell r="AW65" t="e">
            <v>#N/A</v>
          </cell>
          <cell r="AX65" t="e">
            <v>#N/A</v>
          </cell>
          <cell r="AY65" t="str">
            <v/>
          </cell>
          <cell r="AZ65">
            <v>0</v>
          </cell>
          <cell r="BA65" t="str">
            <v/>
          </cell>
          <cell r="BB65">
            <v>0</v>
          </cell>
          <cell r="BC65" t="str">
            <v/>
          </cell>
        </row>
        <row r="66">
          <cell r="AF66" t="str">
            <v/>
          </cell>
          <cell r="AG66" t="str">
            <v/>
          </cell>
          <cell r="AH66">
            <v>0</v>
          </cell>
          <cell r="AI66">
            <v>0</v>
          </cell>
          <cell r="AJ66" t="e">
            <v>#N/A</v>
          </cell>
          <cell r="AK66" t="e">
            <v>#N/A</v>
          </cell>
          <cell r="AL66" t="e">
            <v>#N/A</v>
          </cell>
          <cell r="AM66" t="str">
            <v/>
          </cell>
          <cell r="AN66">
            <v>0</v>
          </cell>
          <cell r="AO66" t="str">
            <v/>
          </cell>
          <cell r="AP66">
            <v>0</v>
          </cell>
          <cell r="AQ66" t="str">
            <v/>
          </cell>
          <cell r="AR66">
            <v>0</v>
          </cell>
          <cell r="AS66" t="str">
            <v/>
          </cell>
          <cell r="AT66" t="str">
            <v/>
          </cell>
          <cell r="AU66">
            <v>0</v>
          </cell>
          <cell r="AV66" t="e">
            <v>#N/A</v>
          </cell>
          <cell r="AW66" t="e">
            <v>#N/A</v>
          </cell>
          <cell r="AX66" t="e">
            <v>#N/A</v>
          </cell>
          <cell r="AY66" t="str">
            <v/>
          </cell>
          <cell r="AZ66">
            <v>0</v>
          </cell>
          <cell r="BA66" t="str">
            <v/>
          </cell>
          <cell r="BB66">
            <v>0</v>
          </cell>
          <cell r="BC66" t="str">
            <v/>
          </cell>
        </row>
        <row r="67">
          <cell r="AF67" t="str">
            <v/>
          </cell>
          <cell r="AG67" t="str">
            <v/>
          </cell>
          <cell r="AH67">
            <v>0</v>
          </cell>
          <cell r="AI67">
            <v>0</v>
          </cell>
          <cell r="AJ67" t="e">
            <v>#N/A</v>
          </cell>
          <cell r="AK67" t="e">
            <v>#N/A</v>
          </cell>
          <cell r="AL67" t="e">
            <v>#N/A</v>
          </cell>
          <cell r="AM67" t="str">
            <v/>
          </cell>
          <cell r="AN67">
            <v>0</v>
          </cell>
          <cell r="AO67" t="str">
            <v/>
          </cell>
          <cell r="AP67">
            <v>0</v>
          </cell>
          <cell r="AQ67" t="str">
            <v/>
          </cell>
          <cell r="AR67">
            <v>0</v>
          </cell>
          <cell r="AS67" t="str">
            <v/>
          </cell>
          <cell r="AT67" t="str">
            <v/>
          </cell>
          <cell r="AU67">
            <v>0</v>
          </cell>
          <cell r="AV67" t="e">
            <v>#N/A</v>
          </cell>
          <cell r="AW67" t="e">
            <v>#N/A</v>
          </cell>
          <cell r="AX67" t="e">
            <v>#N/A</v>
          </cell>
          <cell r="AY67" t="str">
            <v/>
          </cell>
          <cell r="AZ67">
            <v>0</v>
          </cell>
          <cell r="BA67" t="str">
            <v/>
          </cell>
          <cell r="BB67">
            <v>0</v>
          </cell>
          <cell r="BC67" t="str">
            <v/>
          </cell>
        </row>
        <row r="68">
          <cell r="AF68" t="str">
            <v/>
          </cell>
          <cell r="AG68" t="str">
            <v/>
          </cell>
          <cell r="AH68">
            <v>0</v>
          </cell>
          <cell r="AI68">
            <v>0</v>
          </cell>
          <cell r="AJ68" t="e">
            <v>#N/A</v>
          </cell>
          <cell r="AK68" t="e">
            <v>#N/A</v>
          </cell>
          <cell r="AL68" t="e">
            <v>#N/A</v>
          </cell>
          <cell r="AM68" t="str">
            <v/>
          </cell>
          <cell r="AN68">
            <v>0</v>
          </cell>
          <cell r="AO68" t="str">
            <v/>
          </cell>
          <cell r="AP68">
            <v>0</v>
          </cell>
          <cell r="AQ68" t="str">
            <v/>
          </cell>
          <cell r="AR68">
            <v>0</v>
          </cell>
          <cell r="AS68" t="str">
            <v/>
          </cell>
          <cell r="AT68" t="str">
            <v/>
          </cell>
          <cell r="AU68">
            <v>0</v>
          </cell>
          <cell r="AV68" t="e">
            <v>#N/A</v>
          </cell>
          <cell r="AW68" t="e">
            <v>#N/A</v>
          </cell>
          <cell r="AX68" t="e">
            <v>#N/A</v>
          </cell>
          <cell r="AY68" t="str">
            <v/>
          </cell>
          <cell r="AZ68">
            <v>0</v>
          </cell>
          <cell r="BA68" t="str">
            <v/>
          </cell>
          <cell r="BB68">
            <v>0</v>
          </cell>
          <cell r="BC68" t="str">
            <v/>
          </cell>
        </row>
        <row r="69">
          <cell r="AF69" t="str">
            <v/>
          </cell>
          <cell r="AG69" t="str">
            <v/>
          </cell>
          <cell r="AH69">
            <v>0</v>
          </cell>
          <cell r="AI69">
            <v>0</v>
          </cell>
          <cell r="AJ69" t="e">
            <v>#N/A</v>
          </cell>
          <cell r="AK69" t="e">
            <v>#N/A</v>
          </cell>
          <cell r="AL69" t="e">
            <v>#N/A</v>
          </cell>
          <cell r="AM69" t="str">
            <v/>
          </cell>
          <cell r="AN69">
            <v>0</v>
          </cell>
          <cell r="AO69" t="str">
            <v/>
          </cell>
          <cell r="AP69">
            <v>0</v>
          </cell>
          <cell r="AQ69" t="str">
            <v/>
          </cell>
          <cell r="AR69">
            <v>0</v>
          </cell>
          <cell r="AS69" t="str">
            <v/>
          </cell>
          <cell r="AT69" t="str">
            <v/>
          </cell>
          <cell r="AU69">
            <v>0</v>
          </cell>
          <cell r="AV69" t="e">
            <v>#N/A</v>
          </cell>
          <cell r="AW69" t="e">
            <v>#N/A</v>
          </cell>
          <cell r="AX69" t="e">
            <v>#N/A</v>
          </cell>
          <cell r="AY69" t="str">
            <v/>
          </cell>
          <cell r="AZ69">
            <v>0</v>
          </cell>
          <cell r="BA69" t="str">
            <v/>
          </cell>
          <cell r="BB69">
            <v>0</v>
          </cell>
          <cell r="BC69" t="str">
            <v/>
          </cell>
        </row>
        <row r="70">
          <cell r="AF70" t="str">
            <v/>
          </cell>
          <cell r="AG70" t="str">
            <v/>
          </cell>
          <cell r="AH70">
            <v>0</v>
          </cell>
          <cell r="AI70">
            <v>0</v>
          </cell>
          <cell r="AJ70" t="e">
            <v>#N/A</v>
          </cell>
          <cell r="AK70" t="e">
            <v>#N/A</v>
          </cell>
          <cell r="AL70" t="e">
            <v>#N/A</v>
          </cell>
          <cell r="AM70" t="str">
            <v/>
          </cell>
          <cell r="AN70">
            <v>0</v>
          </cell>
          <cell r="AO70" t="str">
            <v/>
          </cell>
          <cell r="AP70">
            <v>0</v>
          </cell>
          <cell r="AQ70" t="str">
            <v/>
          </cell>
          <cell r="AR70">
            <v>0</v>
          </cell>
          <cell r="AS70" t="str">
            <v/>
          </cell>
          <cell r="AT70" t="str">
            <v/>
          </cell>
          <cell r="AU70">
            <v>0</v>
          </cell>
          <cell r="AV70" t="e">
            <v>#N/A</v>
          </cell>
          <cell r="AW70" t="e">
            <v>#N/A</v>
          </cell>
          <cell r="AX70" t="e">
            <v>#N/A</v>
          </cell>
          <cell r="AY70" t="str">
            <v/>
          </cell>
          <cell r="AZ70">
            <v>0</v>
          </cell>
          <cell r="BA70" t="str">
            <v/>
          </cell>
          <cell r="BB70">
            <v>0</v>
          </cell>
          <cell r="BC70" t="str">
            <v/>
          </cell>
        </row>
        <row r="71">
          <cell r="AF71" t="str">
            <v/>
          </cell>
          <cell r="AG71" t="str">
            <v/>
          </cell>
          <cell r="AH71">
            <v>0</v>
          </cell>
          <cell r="AI71">
            <v>0</v>
          </cell>
          <cell r="AJ71" t="e">
            <v>#N/A</v>
          </cell>
          <cell r="AK71" t="e">
            <v>#N/A</v>
          </cell>
          <cell r="AL71" t="e">
            <v>#N/A</v>
          </cell>
          <cell r="AM71" t="str">
            <v/>
          </cell>
          <cell r="AN71">
            <v>0</v>
          </cell>
          <cell r="AO71" t="str">
            <v/>
          </cell>
          <cell r="AP71">
            <v>0</v>
          </cell>
          <cell r="AQ71" t="str">
            <v/>
          </cell>
          <cell r="AR71">
            <v>0</v>
          </cell>
          <cell r="AS71" t="str">
            <v/>
          </cell>
          <cell r="AT71" t="str">
            <v/>
          </cell>
          <cell r="AU71">
            <v>0</v>
          </cell>
          <cell r="AV71" t="e">
            <v>#N/A</v>
          </cell>
          <cell r="AW71" t="e">
            <v>#N/A</v>
          </cell>
          <cell r="AX71" t="e">
            <v>#N/A</v>
          </cell>
          <cell r="AY71" t="str">
            <v/>
          </cell>
          <cell r="AZ71">
            <v>0</v>
          </cell>
          <cell r="BA71" t="str">
            <v/>
          </cell>
          <cell r="BB71">
            <v>0</v>
          </cell>
          <cell r="BC71" t="str">
            <v/>
          </cell>
        </row>
        <row r="72">
          <cell r="AF72" t="str">
            <v/>
          </cell>
          <cell r="AG72" t="str">
            <v/>
          </cell>
          <cell r="AH72">
            <v>0</v>
          </cell>
          <cell r="AI72">
            <v>0</v>
          </cell>
          <cell r="AJ72" t="e">
            <v>#N/A</v>
          </cell>
          <cell r="AK72" t="e">
            <v>#N/A</v>
          </cell>
          <cell r="AL72" t="e">
            <v>#N/A</v>
          </cell>
          <cell r="AM72" t="str">
            <v/>
          </cell>
          <cell r="AN72">
            <v>0</v>
          </cell>
          <cell r="AO72" t="str">
            <v/>
          </cell>
          <cell r="AP72">
            <v>0</v>
          </cell>
          <cell r="AQ72" t="str">
            <v/>
          </cell>
          <cell r="AR72">
            <v>0</v>
          </cell>
          <cell r="AS72" t="str">
            <v/>
          </cell>
          <cell r="AT72" t="str">
            <v/>
          </cell>
          <cell r="AU72">
            <v>0</v>
          </cell>
          <cell r="AV72" t="e">
            <v>#N/A</v>
          </cell>
          <cell r="AW72" t="e">
            <v>#N/A</v>
          </cell>
          <cell r="AX72" t="e">
            <v>#N/A</v>
          </cell>
          <cell r="AY72" t="str">
            <v/>
          </cell>
          <cell r="AZ72">
            <v>0</v>
          </cell>
          <cell r="BA72" t="str">
            <v/>
          </cell>
          <cell r="BB72">
            <v>0</v>
          </cell>
          <cell r="BC72" t="str">
            <v/>
          </cell>
        </row>
        <row r="73">
          <cell r="AF73" t="str">
            <v/>
          </cell>
          <cell r="AG73" t="str">
            <v/>
          </cell>
          <cell r="AH73">
            <v>0</v>
          </cell>
          <cell r="AI73">
            <v>0</v>
          </cell>
          <cell r="AJ73" t="e">
            <v>#N/A</v>
          </cell>
          <cell r="AK73" t="e">
            <v>#N/A</v>
          </cell>
          <cell r="AL73" t="e">
            <v>#N/A</v>
          </cell>
          <cell r="AM73" t="str">
            <v/>
          </cell>
          <cell r="AN73">
            <v>0</v>
          </cell>
          <cell r="AO73" t="str">
            <v/>
          </cell>
          <cell r="AP73">
            <v>0</v>
          </cell>
          <cell r="AQ73" t="str">
            <v/>
          </cell>
          <cell r="AR73">
            <v>0</v>
          </cell>
          <cell r="AS73" t="str">
            <v/>
          </cell>
          <cell r="AT73" t="str">
            <v/>
          </cell>
          <cell r="AU73">
            <v>0</v>
          </cell>
          <cell r="AV73" t="e">
            <v>#N/A</v>
          </cell>
          <cell r="AW73" t="e">
            <v>#N/A</v>
          </cell>
          <cell r="AX73" t="e">
            <v>#N/A</v>
          </cell>
          <cell r="AY73" t="str">
            <v/>
          </cell>
          <cell r="AZ73">
            <v>0</v>
          </cell>
          <cell r="BA73" t="str">
            <v/>
          </cell>
          <cell r="BB73">
            <v>0</v>
          </cell>
          <cell r="BC73" t="str">
            <v/>
          </cell>
        </row>
        <row r="74">
          <cell r="AF74" t="str">
            <v/>
          </cell>
          <cell r="AG74" t="str">
            <v/>
          </cell>
          <cell r="AH74">
            <v>0</v>
          </cell>
          <cell r="AI74">
            <v>0</v>
          </cell>
          <cell r="AJ74" t="e">
            <v>#N/A</v>
          </cell>
          <cell r="AK74" t="e">
            <v>#N/A</v>
          </cell>
          <cell r="AL74" t="e">
            <v>#N/A</v>
          </cell>
          <cell r="AM74" t="str">
            <v/>
          </cell>
          <cell r="AN74">
            <v>0</v>
          </cell>
          <cell r="AO74" t="str">
            <v/>
          </cell>
          <cell r="AP74">
            <v>0</v>
          </cell>
          <cell r="AQ74" t="str">
            <v/>
          </cell>
          <cell r="AR74">
            <v>0</v>
          </cell>
          <cell r="AS74" t="str">
            <v/>
          </cell>
          <cell r="AT74" t="str">
            <v/>
          </cell>
          <cell r="AU74">
            <v>0</v>
          </cell>
          <cell r="AV74" t="e">
            <v>#N/A</v>
          </cell>
          <cell r="AW74" t="e">
            <v>#N/A</v>
          </cell>
          <cell r="AX74" t="e">
            <v>#N/A</v>
          </cell>
          <cell r="AY74" t="str">
            <v/>
          </cell>
          <cell r="AZ74">
            <v>0</v>
          </cell>
          <cell r="BA74" t="str">
            <v/>
          </cell>
          <cell r="BB74">
            <v>0</v>
          </cell>
          <cell r="BC74" t="str">
            <v/>
          </cell>
        </row>
        <row r="75">
          <cell r="AF75" t="str">
            <v/>
          </cell>
          <cell r="AG75" t="str">
            <v/>
          </cell>
          <cell r="AH75">
            <v>0</v>
          </cell>
          <cell r="AI75">
            <v>0</v>
          </cell>
          <cell r="AJ75" t="e">
            <v>#N/A</v>
          </cell>
          <cell r="AK75" t="e">
            <v>#N/A</v>
          </cell>
          <cell r="AL75" t="e">
            <v>#N/A</v>
          </cell>
          <cell r="AM75" t="str">
            <v/>
          </cell>
          <cell r="AN75">
            <v>0</v>
          </cell>
          <cell r="AO75" t="str">
            <v/>
          </cell>
          <cell r="AP75">
            <v>0</v>
          </cell>
          <cell r="AQ75" t="str">
            <v/>
          </cell>
          <cell r="AR75">
            <v>0</v>
          </cell>
          <cell r="AS75" t="str">
            <v/>
          </cell>
          <cell r="AT75" t="str">
            <v/>
          </cell>
          <cell r="AU75">
            <v>0</v>
          </cell>
          <cell r="AV75" t="e">
            <v>#N/A</v>
          </cell>
          <cell r="AW75" t="e">
            <v>#N/A</v>
          </cell>
          <cell r="AX75" t="e">
            <v>#N/A</v>
          </cell>
          <cell r="AY75" t="str">
            <v/>
          </cell>
          <cell r="AZ75">
            <v>0</v>
          </cell>
          <cell r="BA75" t="str">
            <v/>
          </cell>
          <cell r="BB75">
            <v>0</v>
          </cell>
          <cell r="BC75" t="str">
            <v/>
          </cell>
        </row>
        <row r="76">
          <cell r="AF76" t="str">
            <v/>
          </cell>
          <cell r="AG76" t="str">
            <v/>
          </cell>
          <cell r="AH76">
            <v>0</v>
          </cell>
          <cell r="AI76">
            <v>0</v>
          </cell>
          <cell r="AJ76" t="e">
            <v>#N/A</v>
          </cell>
          <cell r="AK76" t="e">
            <v>#N/A</v>
          </cell>
          <cell r="AL76" t="e">
            <v>#N/A</v>
          </cell>
          <cell r="AM76" t="str">
            <v/>
          </cell>
          <cell r="AN76">
            <v>0</v>
          </cell>
          <cell r="AO76" t="str">
            <v/>
          </cell>
          <cell r="AP76">
            <v>0</v>
          </cell>
          <cell r="AQ76" t="str">
            <v/>
          </cell>
          <cell r="AR76">
            <v>0</v>
          </cell>
          <cell r="AS76" t="str">
            <v/>
          </cell>
          <cell r="AT76" t="str">
            <v/>
          </cell>
          <cell r="AU76">
            <v>0</v>
          </cell>
          <cell r="AV76" t="e">
            <v>#N/A</v>
          </cell>
          <cell r="AW76" t="e">
            <v>#N/A</v>
          </cell>
          <cell r="AX76" t="e">
            <v>#N/A</v>
          </cell>
          <cell r="AY76" t="str">
            <v/>
          </cell>
          <cell r="AZ76">
            <v>0</v>
          </cell>
          <cell r="BA76" t="str">
            <v/>
          </cell>
          <cell r="BB76">
            <v>0</v>
          </cell>
          <cell r="BC76" t="str">
            <v/>
          </cell>
        </row>
        <row r="77">
          <cell r="AF77" t="str">
            <v/>
          </cell>
          <cell r="AG77" t="str">
            <v/>
          </cell>
          <cell r="AH77">
            <v>0</v>
          </cell>
          <cell r="AI77">
            <v>0</v>
          </cell>
          <cell r="AJ77" t="e">
            <v>#N/A</v>
          </cell>
          <cell r="AK77" t="e">
            <v>#N/A</v>
          </cell>
          <cell r="AL77" t="e">
            <v>#N/A</v>
          </cell>
          <cell r="AM77" t="str">
            <v/>
          </cell>
          <cell r="AN77">
            <v>0</v>
          </cell>
          <cell r="AO77" t="str">
            <v/>
          </cell>
          <cell r="AP77">
            <v>0</v>
          </cell>
          <cell r="AQ77" t="str">
            <v/>
          </cell>
          <cell r="AR77">
            <v>0</v>
          </cell>
          <cell r="AS77" t="str">
            <v/>
          </cell>
          <cell r="AT77" t="str">
            <v/>
          </cell>
          <cell r="AU77">
            <v>0</v>
          </cell>
          <cell r="AV77" t="e">
            <v>#N/A</v>
          </cell>
          <cell r="AW77" t="e">
            <v>#N/A</v>
          </cell>
          <cell r="AX77" t="e">
            <v>#N/A</v>
          </cell>
          <cell r="AY77" t="str">
            <v/>
          </cell>
          <cell r="AZ77">
            <v>0</v>
          </cell>
          <cell r="BA77" t="str">
            <v/>
          </cell>
          <cell r="BB77">
            <v>0</v>
          </cell>
          <cell r="BC77" t="str">
            <v/>
          </cell>
        </row>
        <row r="78">
          <cell r="AF78" t="str">
            <v/>
          </cell>
          <cell r="AG78" t="str">
            <v/>
          </cell>
          <cell r="AH78">
            <v>0</v>
          </cell>
          <cell r="AI78">
            <v>0</v>
          </cell>
          <cell r="AJ78" t="e">
            <v>#N/A</v>
          </cell>
          <cell r="AK78" t="e">
            <v>#N/A</v>
          </cell>
          <cell r="AL78" t="e">
            <v>#N/A</v>
          </cell>
          <cell r="AM78" t="str">
            <v/>
          </cell>
          <cell r="AN78">
            <v>0</v>
          </cell>
          <cell r="AO78" t="str">
            <v/>
          </cell>
          <cell r="AP78">
            <v>0</v>
          </cell>
          <cell r="AQ78" t="str">
            <v/>
          </cell>
          <cell r="AR78">
            <v>0</v>
          </cell>
          <cell r="AS78" t="str">
            <v/>
          </cell>
          <cell r="AT78" t="str">
            <v/>
          </cell>
          <cell r="AU78">
            <v>0</v>
          </cell>
          <cell r="AV78" t="e">
            <v>#N/A</v>
          </cell>
          <cell r="AW78" t="e">
            <v>#N/A</v>
          </cell>
          <cell r="AX78" t="e">
            <v>#N/A</v>
          </cell>
          <cell r="AY78" t="str">
            <v/>
          </cell>
          <cell r="AZ78">
            <v>0</v>
          </cell>
          <cell r="BA78" t="str">
            <v/>
          </cell>
          <cell r="BB78">
            <v>0</v>
          </cell>
          <cell r="BC78" t="str">
            <v/>
          </cell>
        </row>
        <row r="79">
          <cell r="AF79" t="str">
            <v/>
          </cell>
          <cell r="AG79" t="str">
            <v/>
          </cell>
          <cell r="AH79">
            <v>0</v>
          </cell>
          <cell r="AI79">
            <v>0</v>
          </cell>
          <cell r="AJ79" t="e">
            <v>#N/A</v>
          </cell>
          <cell r="AK79" t="e">
            <v>#N/A</v>
          </cell>
          <cell r="AL79" t="e">
            <v>#N/A</v>
          </cell>
          <cell r="AM79" t="str">
            <v/>
          </cell>
          <cell r="AN79">
            <v>0</v>
          </cell>
          <cell r="AO79" t="str">
            <v/>
          </cell>
          <cell r="AP79">
            <v>0</v>
          </cell>
          <cell r="AQ79" t="str">
            <v/>
          </cell>
          <cell r="AR79">
            <v>0</v>
          </cell>
          <cell r="AS79" t="str">
            <v/>
          </cell>
          <cell r="AT79" t="str">
            <v/>
          </cell>
          <cell r="AU79">
            <v>0</v>
          </cell>
          <cell r="AV79" t="e">
            <v>#N/A</v>
          </cell>
          <cell r="AW79" t="e">
            <v>#N/A</v>
          </cell>
          <cell r="AX79" t="e">
            <v>#N/A</v>
          </cell>
          <cell r="AY79" t="str">
            <v/>
          </cell>
          <cell r="AZ79">
            <v>0</v>
          </cell>
          <cell r="BA79" t="str">
            <v/>
          </cell>
          <cell r="BB79">
            <v>0</v>
          </cell>
          <cell r="BC79" t="str">
            <v/>
          </cell>
        </row>
        <row r="80">
          <cell r="AF80" t="str">
            <v/>
          </cell>
          <cell r="AG80" t="str">
            <v/>
          </cell>
          <cell r="AH80">
            <v>0</v>
          </cell>
          <cell r="AI80">
            <v>0</v>
          </cell>
          <cell r="AJ80" t="e">
            <v>#N/A</v>
          </cell>
          <cell r="AK80" t="e">
            <v>#N/A</v>
          </cell>
          <cell r="AL80" t="e">
            <v>#N/A</v>
          </cell>
          <cell r="AM80" t="str">
            <v/>
          </cell>
          <cell r="AN80">
            <v>0</v>
          </cell>
          <cell r="AO80" t="str">
            <v/>
          </cell>
          <cell r="AP80">
            <v>0</v>
          </cell>
          <cell r="AQ80" t="str">
            <v/>
          </cell>
          <cell r="AR80">
            <v>0</v>
          </cell>
          <cell r="AS80" t="str">
            <v/>
          </cell>
          <cell r="AT80" t="str">
            <v/>
          </cell>
          <cell r="AU80">
            <v>0</v>
          </cell>
          <cell r="AV80" t="e">
            <v>#N/A</v>
          </cell>
          <cell r="AW80" t="e">
            <v>#N/A</v>
          </cell>
          <cell r="AX80" t="e">
            <v>#N/A</v>
          </cell>
          <cell r="AY80" t="str">
            <v/>
          </cell>
          <cell r="AZ80">
            <v>0</v>
          </cell>
          <cell r="BA80" t="str">
            <v/>
          </cell>
          <cell r="BB80">
            <v>0</v>
          </cell>
          <cell r="BC80" t="str">
            <v/>
          </cell>
        </row>
        <row r="81">
          <cell r="AF81" t="str">
            <v/>
          </cell>
          <cell r="AG81" t="str">
            <v/>
          </cell>
          <cell r="AH81">
            <v>0</v>
          </cell>
          <cell r="AI81">
            <v>0</v>
          </cell>
          <cell r="AJ81" t="e">
            <v>#N/A</v>
          </cell>
          <cell r="AK81" t="e">
            <v>#N/A</v>
          </cell>
          <cell r="AL81" t="e">
            <v>#N/A</v>
          </cell>
          <cell r="AM81" t="str">
            <v/>
          </cell>
          <cell r="AN81">
            <v>0</v>
          </cell>
          <cell r="AO81" t="str">
            <v/>
          </cell>
          <cell r="AP81">
            <v>0</v>
          </cell>
          <cell r="AQ81" t="str">
            <v/>
          </cell>
          <cell r="AR81">
            <v>0</v>
          </cell>
          <cell r="AS81" t="str">
            <v/>
          </cell>
          <cell r="AT81" t="str">
            <v/>
          </cell>
          <cell r="AU81">
            <v>0</v>
          </cell>
          <cell r="AV81" t="e">
            <v>#N/A</v>
          </cell>
          <cell r="AW81" t="e">
            <v>#N/A</v>
          </cell>
          <cell r="AX81" t="e">
            <v>#N/A</v>
          </cell>
          <cell r="AY81" t="str">
            <v/>
          </cell>
          <cell r="AZ81">
            <v>0</v>
          </cell>
          <cell r="BA81" t="str">
            <v/>
          </cell>
          <cell r="BB81">
            <v>0</v>
          </cell>
          <cell r="BC81" t="str">
            <v/>
          </cell>
        </row>
        <row r="82">
          <cell r="AF82" t="str">
            <v/>
          </cell>
          <cell r="AG82" t="str">
            <v/>
          </cell>
          <cell r="AH82">
            <v>0</v>
          </cell>
          <cell r="AI82">
            <v>0</v>
          </cell>
          <cell r="AJ82" t="e">
            <v>#N/A</v>
          </cell>
          <cell r="AK82" t="e">
            <v>#N/A</v>
          </cell>
          <cell r="AL82" t="e">
            <v>#N/A</v>
          </cell>
          <cell r="AM82" t="str">
            <v/>
          </cell>
          <cell r="AN82">
            <v>0</v>
          </cell>
          <cell r="AO82" t="str">
            <v/>
          </cell>
          <cell r="AP82">
            <v>0</v>
          </cell>
          <cell r="AQ82" t="str">
            <v/>
          </cell>
          <cell r="AR82">
            <v>0</v>
          </cell>
          <cell r="AS82" t="str">
            <v/>
          </cell>
          <cell r="AT82" t="str">
            <v/>
          </cell>
          <cell r="AU82">
            <v>0</v>
          </cell>
          <cell r="AV82" t="e">
            <v>#N/A</v>
          </cell>
          <cell r="AW82" t="e">
            <v>#N/A</v>
          </cell>
          <cell r="AX82" t="e">
            <v>#N/A</v>
          </cell>
          <cell r="AY82" t="str">
            <v/>
          </cell>
          <cell r="AZ82">
            <v>0</v>
          </cell>
          <cell r="BA82" t="str">
            <v/>
          </cell>
          <cell r="BB82">
            <v>0</v>
          </cell>
          <cell r="BC82" t="str">
            <v/>
          </cell>
        </row>
        <row r="83">
          <cell r="AF83" t="str">
            <v/>
          </cell>
          <cell r="AG83" t="str">
            <v/>
          </cell>
          <cell r="AH83">
            <v>0</v>
          </cell>
          <cell r="AI83">
            <v>0</v>
          </cell>
          <cell r="AJ83" t="e">
            <v>#N/A</v>
          </cell>
          <cell r="AK83" t="e">
            <v>#N/A</v>
          </cell>
          <cell r="AL83" t="e">
            <v>#N/A</v>
          </cell>
          <cell r="AM83" t="str">
            <v/>
          </cell>
          <cell r="AN83">
            <v>0</v>
          </cell>
          <cell r="AO83" t="str">
            <v/>
          </cell>
          <cell r="AP83">
            <v>0</v>
          </cell>
          <cell r="AQ83" t="str">
            <v/>
          </cell>
          <cell r="AR83">
            <v>0</v>
          </cell>
          <cell r="AS83" t="str">
            <v/>
          </cell>
          <cell r="AT83" t="str">
            <v/>
          </cell>
          <cell r="AU83">
            <v>0</v>
          </cell>
          <cell r="AV83" t="e">
            <v>#N/A</v>
          </cell>
          <cell r="AW83" t="e">
            <v>#N/A</v>
          </cell>
          <cell r="AX83" t="e">
            <v>#N/A</v>
          </cell>
          <cell r="AY83" t="str">
            <v/>
          </cell>
          <cell r="AZ83">
            <v>0</v>
          </cell>
          <cell r="BA83" t="str">
            <v/>
          </cell>
          <cell r="BB83">
            <v>0</v>
          </cell>
          <cell r="BC83" t="str">
            <v/>
          </cell>
        </row>
        <row r="84">
          <cell r="AF84" t="str">
            <v/>
          </cell>
          <cell r="AG84" t="str">
            <v/>
          </cell>
          <cell r="AH84">
            <v>0</v>
          </cell>
          <cell r="AI84">
            <v>0</v>
          </cell>
          <cell r="AJ84" t="e">
            <v>#N/A</v>
          </cell>
          <cell r="AK84" t="e">
            <v>#N/A</v>
          </cell>
          <cell r="AL84" t="e">
            <v>#N/A</v>
          </cell>
          <cell r="AM84" t="str">
            <v/>
          </cell>
          <cell r="AN84">
            <v>0</v>
          </cell>
          <cell r="AO84" t="str">
            <v/>
          </cell>
          <cell r="AP84">
            <v>0</v>
          </cell>
          <cell r="AQ84" t="str">
            <v/>
          </cell>
          <cell r="AR84">
            <v>0</v>
          </cell>
          <cell r="AS84" t="str">
            <v/>
          </cell>
          <cell r="AT84" t="str">
            <v/>
          </cell>
          <cell r="AU84">
            <v>0</v>
          </cell>
          <cell r="AV84" t="e">
            <v>#N/A</v>
          </cell>
          <cell r="AW84" t="e">
            <v>#N/A</v>
          </cell>
          <cell r="AX84" t="e">
            <v>#N/A</v>
          </cell>
          <cell r="AY84" t="str">
            <v/>
          </cell>
          <cell r="AZ84">
            <v>0</v>
          </cell>
          <cell r="BA84" t="str">
            <v/>
          </cell>
          <cell r="BB84">
            <v>0</v>
          </cell>
          <cell r="BC84" t="str">
            <v/>
          </cell>
        </row>
        <row r="85">
          <cell r="AZ85">
            <v>0</v>
          </cell>
          <cell r="BB85">
            <v>0</v>
          </cell>
        </row>
        <row r="86">
          <cell r="AZ86">
            <v>0</v>
          </cell>
          <cell r="BB86">
            <v>0</v>
          </cell>
        </row>
        <row r="87">
          <cell r="AZ87">
            <v>0</v>
          </cell>
          <cell r="BB87">
            <v>0</v>
          </cell>
        </row>
        <row r="88">
          <cell r="AZ88">
            <v>0</v>
          </cell>
          <cell r="BB88">
            <v>0</v>
          </cell>
        </row>
        <row r="89">
          <cell r="AZ89">
            <v>0</v>
          </cell>
          <cell r="BB89">
            <v>0</v>
          </cell>
        </row>
        <row r="90">
          <cell r="AZ90">
            <v>0</v>
          </cell>
          <cell r="BB90">
            <v>0</v>
          </cell>
        </row>
        <row r="91">
          <cell r="AZ91">
            <v>0</v>
          </cell>
          <cell r="BB91">
            <v>0</v>
          </cell>
        </row>
        <row r="94">
          <cell r="AZ94">
            <v>0</v>
          </cell>
          <cell r="BB94">
            <v>0</v>
          </cell>
        </row>
        <row r="95">
          <cell r="AZ95">
            <v>0</v>
          </cell>
          <cell r="BB95">
            <v>0</v>
          </cell>
        </row>
        <row r="96">
          <cell r="AZ96">
            <v>0</v>
          </cell>
          <cell r="BB96">
            <v>0</v>
          </cell>
        </row>
        <row r="97">
          <cell r="AZ97">
            <v>0</v>
          </cell>
          <cell r="BB97">
            <v>0</v>
          </cell>
        </row>
        <row r="98">
          <cell r="AF98" t="str">
            <v>Combustível</v>
          </cell>
          <cell r="AG98" t="str">
            <v>Combustível</v>
          </cell>
          <cell r="AH98" t="str">
            <v>Consumo Fósseis</v>
          </cell>
          <cell r="AI98">
            <v>0</v>
          </cell>
          <cell r="AJ98" t="str">
            <v>EFs Combustíveis Fosseis [Kg/L]</v>
          </cell>
          <cell r="AK98">
            <v>0</v>
          </cell>
          <cell r="AL98">
            <v>0</v>
          </cell>
          <cell r="AM98" t="str">
            <v>Emissões</v>
          </cell>
          <cell r="AN98">
            <v>0</v>
          </cell>
          <cell r="AO98">
            <v>0</v>
          </cell>
          <cell r="AP98">
            <v>0</v>
          </cell>
          <cell r="AQ98">
            <v>0</v>
          </cell>
          <cell r="AR98">
            <v>0</v>
          </cell>
          <cell r="AS98" t="str">
            <v>Combustível</v>
          </cell>
          <cell r="AT98" t="str">
            <v>Consumo não fossil</v>
          </cell>
          <cell r="AU98">
            <v>0</v>
          </cell>
          <cell r="AV98" t="str">
            <v>EFs Combustíveis não fosséis</v>
          </cell>
          <cell r="AW98">
            <v>0</v>
          </cell>
          <cell r="AX98">
            <v>0</v>
          </cell>
          <cell r="AY98" t="str">
            <v>Emissões</v>
          </cell>
          <cell r="AZ98">
            <v>0</v>
          </cell>
          <cell r="BA98">
            <v>0</v>
          </cell>
          <cell r="BB98">
            <v>0</v>
          </cell>
          <cell r="BC98">
            <v>0</v>
          </cell>
        </row>
        <row r="99">
          <cell r="AF99" t="str">
            <v>relatado</v>
          </cell>
          <cell r="AG99" t="str">
            <v>fóssil</v>
          </cell>
          <cell r="AH99">
            <v>0</v>
          </cell>
          <cell r="AI99">
            <v>0</v>
          </cell>
          <cell r="AJ99" t="str">
            <v>CO2</v>
          </cell>
          <cell r="AK99" t="str">
            <v>CH4</v>
          </cell>
          <cell r="AL99" t="str">
            <v>N2O</v>
          </cell>
          <cell r="AM99" t="str">
            <v>CO2</v>
          </cell>
          <cell r="AN99">
            <v>0</v>
          </cell>
          <cell r="AO99" t="str">
            <v>CH4</v>
          </cell>
          <cell r="AP99">
            <v>0</v>
          </cell>
          <cell r="AQ99" t="str">
            <v>N2O</v>
          </cell>
          <cell r="AR99">
            <v>0</v>
          </cell>
          <cell r="AS99" t="str">
            <v>não fóssil</v>
          </cell>
          <cell r="AT99">
            <v>0</v>
          </cell>
          <cell r="AU99">
            <v>0</v>
          </cell>
          <cell r="AV99" t="str">
            <v>CO2</v>
          </cell>
          <cell r="AW99" t="str">
            <v>CH4</v>
          </cell>
          <cell r="AX99" t="str">
            <v>N2O</v>
          </cell>
          <cell r="AY99" t="str">
            <v>CO2</v>
          </cell>
          <cell r="AZ99">
            <v>0</v>
          </cell>
          <cell r="BA99" t="str">
            <v>CH4</v>
          </cell>
          <cell r="BB99">
            <v>0</v>
          </cell>
          <cell r="BC99" t="str">
            <v>N2O</v>
          </cell>
        </row>
        <row r="100">
          <cell r="AF100" t="str">
            <v/>
          </cell>
          <cell r="AG100" t="str">
            <v/>
          </cell>
          <cell r="AH100">
            <v>0</v>
          </cell>
          <cell r="AI100">
            <v>0</v>
          </cell>
          <cell r="AJ100" t="e">
            <v>#N/A</v>
          </cell>
          <cell r="AK100" t="e">
            <v>#N/A</v>
          </cell>
          <cell r="AL100" t="e">
            <v>#N/A</v>
          </cell>
          <cell r="AM100" t="str">
            <v/>
          </cell>
          <cell r="AN100">
            <v>0</v>
          </cell>
          <cell r="AO100" t="str">
            <v/>
          </cell>
          <cell r="AP100">
            <v>0</v>
          </cell>
          <cell r="AQ100" t="str">
            <v/>
          </cell>
          <cell r="AR100">
            <v>0</v>
          </cell>
          <cell r="AS100" t="str">
            <v/>
          </cell>
          <cell r="AT100" t="str">
            <v/>
          </cell>
          <cell r="AU100">
            <v>0</v>
          </cell>
          <cell r="AV100" t="str">
            <v/>
          </cell>
          <cell r="AW100" t="e">
            <v>#N/A</v>
          </cell>
          <cell r="AX100" t="e">
            <v>#N/A</v>
          </cell>
          <cell r="AY100" t="str">
            <v/>
          </cell>
          <cell r="AZ100">
            <v>0</v>
          </cell>
          <cell r="BA100" t="str">
            <v/>
          </cell>
          <cell r="BB100">
            <v>0</v>
          </cell>
          <cell r="BC100" t="str">
            <v/>
          </cell>
        </row>
        <row r="101">
          <cell r="AF101" t="str">
            <v/>
          </cell>
          <cell r="AG101" t="str">
            <v/>
          </cell>
          <cell r="AH101">
            <v>0</v>
          </cell>
          <cell r="AI101">
            <v>0</v>
          </cell>
          <cell r="AJ101" t="e">
            <v>#N/A</v>
          </cell>
          <cell r="AK101" t="e">
            <v>#N/A</v>
          </cell>
          <cell r="AL101" t="e">
            <v>#N/A</v>
          </cell>
          <cell r="AM101" t="str">
            <v/>
          </cell>
          <cell r="AN101">
            <v>0</v>
          </cell>
          <cell r="AO101" t="str">
            <v/>
          </cell>
          <cell r="AP101">
            <v>0</v>
          </cell>
          <cell r="AQ101" t="str">
            <v/>
          </cell>
          <cell r="AR101">
            <v>0</v>
          </cell>
          <cell r="AS101" t="str">
            <v/>
          </cell>
          <cell r="AT101" t="str">
            <v/>
          </cell>
          <cell r="AU101">
            <v>0</v>
          </cell>
          <cell r="AV101" t="str">
            <v/>
          </cell>
          <cell r="AW101" t="e">
            <v>#N/A</v>
          </cell>
          <cell r="AX101" t="e">
            <v>#N/A</v>
          </cell>
          <cell r="AY101" t="str">
            <v/>
          </cell>
          <cell r="AZ101">
            <v>0</v>
          </cell>
          <cell r="BA101" t="str">
            <v/>
          </cell>
          <cell r="BB101">
            <v>0</v>
          </cell>
          <cell r="BC101" t="str">
            <v/>
          </cell>
        </row>
        <row r="102">
          <cell r="AF102" t="str">
            <v/>
          </cell>
          <cell r="AG102" t="str">
            <v/>
          </cell>
          <cell r="AH102">
            <v>0</v>
          </cell>
          <cell r="AI102">
            <v>0</v>
          </cell>
          <cell r="AJ102" t="e">
            <v>#N/A</v>
          </cell>
          <cell r="AK102" t="e">
            <v>#N/A</v>
          </cell>
          <cell r="AL102" t="e">
            <v>#N/A</v>
          </cell>
          <cell r="AM102" t="str">
            <v/>
          </cell>
          <cell r="AN102">
            <v>0</v>
          </cell>
          <cell r="AO102" t="str">
            <v/>
          </cell>
          <cell r="AP102">
            <v>0</v>
          </cell>
          <cell r="AQ102" t="str">
            <v/>
          </cell>
          <cell r="AR102">
            <v>0</v>
          </cell>
          <cell r="AS102" t="str">
            <v/>
          </cell>
          <cell r="AT102" t="str">
            <v/>
          </cell>
          <cell r="AU102">
            <v>0</v>
          </cell>
          <cell r="AV102" t="str">
            <v/>
          </cell>
          <cell r="AW102" t="e">
            <v>#N/A</v>
          </cell>
          <cell r="AX102" t="e">
            <v>#N/A</v>
          </cell>
          <cell r="AY102" t="str">
            <v/>
          </cell>
          <cell r="AZ102">
            <v>0</v>
          </cell>
          <cell r="BA102" t="str">
            <v/>
          </cell>
          <cell r="BB102">
            <v>0</v>
          </cell>
          <cell r="BC102" t="str">
            <v/>
          </cell>
        </row>
        <row r="103">
          <cell r="AF103" t="str">
            <v/>
          </cell>
          <cell r="AG103" t="str">
            <v/>
          </cell>
          <cell r="AH103">
            <v>0</v>
          </cell>
          <cell r="AI103">
            <v>0</v>
          </cell>
          <cell r="AJ103" t="e">
            <v>#N/A</v>
          </cell>
          <cell r="AK103" t="e">
            <v>#N/A</v>
          </cell>
          <cell r="AL103" t="e">
            <v>#N/A</v>
          </cell>
          <cell r="AM103" t="str">
            <v/>
          </cell>
          <cell r="AN103">
            <v>0</v>
          </cell>
          <cell r="AO103" t="str">
            <v/>
          </cell>
          <cell r="AP103">
            <v>0</v>
          </cell>
          <cell r="AQ103" t="str">
            <v/>
          </cell>
          <cell r="AR103">
            <v>0</v>
          </cell>
          <cell r="AS103" t="str">
            <v/>
          </cell>
          <cell r="AT103" t="str">
            <v/>
          </cell>
          <cell r="AU103">
            <v>0</v>
          </cell>
          <cell r="AV103" t="str">
            <v/>
          </cell>
          <cell r="AW103" t="e">
            <v>#N/A</v>
          </cell>
          <cell r="AX103" t="e">
            <v>#N/A</v>
          </cell>
          <cell r="AY103" t="str">
            <v/>
          </cell>
          <cell r="AZ103">
            <v>0</v>
          </cell>
          <cell r="BA103" t="str">
            <v/>
          </cell>
          <cell r="BB103">
            <v>0</v>
          </cell>
          <cell r="BC103" t="str">
            <v/>
          </cell>
        </row>
        <row r="104">
          <cell r="AF104" t="str">
            <v/>
          </cell>
          <cell r="AG104" t="str">
            <v/>
          </cell>
          <cell r="AH104">
            <v>0</v>
          </cell>
          <cell r="AI104">
            <v>0</v>
          </cell>
          <cell r="AJ104" t="e">
            <v>#N/A</v>
          </cell>
          <cell r="AK104" t="e">
            <v>#N/A</v>
          </cell>
          <cell r="AL104" t="e">
            <v>#N/A</v>
          </cell>
          <cell r="AM104" t="str">
            <v/>
          </cell>
          <cell r="AN104">
            <v>0</v>
          </cell>
          <cell r="AO104" t="str">
            <v/>
          </cell>
          <cell r="AP104">
            <v>0</v>
          </cell>
          <cell r="AQ104" t="str">
            <v/>
          </cell>
          <cell r="AR104">
            <v>0</v>
          </cell>
          <cell r="AS104" t="str">
            <v/>
          </cell>
          <cell r="AT104" t="str">
            <v/>
          </cell>
          <cell r="AU104">
            <v>0</v>
          </cell>
          <cell r="AV104" t="str">
            <v/>
          </cell>
          <cell r="AW104" t="e">
            <v>#N/A</v>
          </cell>
          <cell r="AX104" t="e">
            <v>#N/A</v>
          </cell>
          <cell r="AY104" t="str">
            <v/>
          </cell>
          <cell r="AZ104">
            <v>0</v>
          </cell>
          <cell r="BA104" t="str">
            <v/>
          </cell>
          <cell r="BB104">
            <v>0</v>
          </cell>
          <cell r="BC104" t="str">
            <v/>
          </cell>
        </row>
        <row r="105">
          <cell r="AF105" t="str">
            <v/>
          </cell>
          <cell r="AG105" t="str">
            <v/>
          </cell>
          <cell r="AH105">
            <v>0</v>
          </cell>
          <cell r="AI105">
            <v>0</v>
          </cell>
          <cell r="AJ105" t="e">
            <v>#N/A</v>
          </cell>
          <cell r="AK105" t="e">
            <v>#N/A</v>
          </cell>
          <cell r="AL105" t="e">
            <v>#N/A</v>
          </cell>
          <cell r="AM105" t="str">
            <v/>
          </cell>
          <cell r="AN105">
            <v>0</v>
          </cell>
          <cell r="AO105" t="str">
            <v/>
          </cell>
          <cell r="AP105">
            <v>0</v>
          </cell>
          <cell r="AQ105" t="str">
            <v/>
          </cell>
          <cell r="AR105">
            <v>0</v>
          </cell>
          <cell r="AS105" t="str">
            <v/>
          </cell>
          <cell r="AT105" t="str">
            <v/>
          </cell>
          <cell r="AU105">
            <v>0</v>
          </cell>
          <cell r="AV105" t="str">
            <v/>
          </cell>
          <cell r="AW105" t="e">
            <v>#N/A</v>
          </cell>
          <cell r="AX105" t="e">
            <v>#N/A</v>
          </cell>
          <cell r="AY105" t="str">
            <v/>
          </cell>
          <cell r="AZ105">
            <v>0</v>
          </cell>
          <cell r="BA105" t="str">
            <v/>
          </cell>
          <cell r="BB105">
            <v>0</v>
          </cell>
          <cell r="BC105" t="str">
            <v/>
          </cell>
        </row>
        <row r="106">
          <cell r="AF106" t="str">
            <v/>
          </cell>
          <cell r="AG106" t="str">
            <v/>
          </cell>
          <cell r="AH106">
            <v>0</v>
          </cell>
          <cell r="AI106">
            <v>0</v>
          </cell>
          <cell r="AJ106" t="e">
            <v>#N/A</v>
          </cell>
          <cell r="AK106" t="e">
            <v>#N/A</v>
          </cell>
          <cell r="AL106" t="e">
            <v>#N/A</v>
          </cell>
          <cell r="AM106" t="str">
            <v/>
          </cell>
          <cell r="AN106">
            <v>0</v>
          </cell>
          <cell r="AO106" t="str">
            <v/>
          </cell>
          <cell r="AP106">
            <v>0</v>
          </cell>
          <cell r="AQ106" t="str">
            <v/>
          </cell>
          <cell r="AR106">
            <v>0</v>
          </cell>
          <cell r="AS106" t="str">
            <v/>
          </cell>
          <cell r="AT106" t="str">
            <v/>
          </cell>
          <cell r="AU106">
            <v>0</v>
          </cell>
          <cell r="AV106" t="str">
            <v/>
          </cell>
          <cell r="AW106" t="e">
            <v>#N/A</v>
          </cell>
          <cell r="AX106" t="e">
            <v>#N/A</v>
          </cell>
          <cell r="AY106" t="str">
            <v/>
          </cell>
          <cell r="AZ106">
            <v>0</v>
          </cell>
          <cell r="BA106" t="str">
            <v/>
          </cell>
          <cell r="BB106">
            <v>0</v>
          </cell>
          <cell r="BC106" t="str">
            <v/>
          </cell>
        </row>
        <row r="107">
          <cell r="AF107" t="str">
            <v/>
          </cell>
          <cell r="AG107" t="str">
            <v/>
          </cell>
          <cell r="AH107">
            <v>0</v>
          </cell>
          <cell r="AI107">
            <v>0</v>
          </cell>
          <cell r="AJ107" t="e">
            <v>#N/A</v>
          </cell>
          <cell r="AK107" t="e">
            <v>#N/A</v>
          </cell>
          <cell r="AL107" t="e">
            <v>#N/A</v>
          </cell>
          <cell r="AM107" t="str">
            <v/>
          </cell>
          <cell r="AN107">
            <v>0</v>
          </cell>
          <cell r="AO107" t="str">
            <v/>
          </cell>
          <cell r="AP107">
            <v>0</v>
          </cell>
          <cell r="AQ107" t="str">
            <v/>
          </cell>
          <cell r="AR107">
            <v>0</v>
          </cell>
          <cell r="AS107" t="str">
            <v/>
          </cell>
          <cell r="AT107" t="str">
            <v/>
          </cell>
          <cell r="AU107">
            <v>0</v>
          </cell>
          <cell r="AV107" t="str">
            <v/>
          </cell>
          <cell r="AW107" t="e">
            <v>#N/A</v>
          </cell>
          <cell r="AX107" t="e">
            <v>#N/A</v>
          </cell>
          <cell r="AY107" t="str">
            <v/>
          </cell>
          <cell r="AZ107">
            <v>0</v>
          </cell>
          <cell r="BA107" t="str">
            <v/>
          </cell>
          <cell r="BB107">
            <v>0</v>
          </cell>
          <cell r="BC107" t="str">
            <v/>
          </cell>
        </row>
        <row r="108">
          <cell r="AF108" t="str">
            <v/>
          </cell>
          <cell r="AG108" t="str">
            <v/>
          </cell>
          <cell r="AH108">
            <v>0</v>
          </cell>
          <cell r="AI108">
            <v>0</v>
          </cell>
          <cell r="AJ108" t="e">
            <v>#N/A</v>
          </cell>
          <cell r="AK108" t="e">
            <v>#N/A</v>
          </cell>
          <cell r="AL108" t="e">
            <v>#N/A</v>
          </cell>
          <cell r="AM108" t="str">
            <v/>
          </cell>
          <cell r="AN108">
            <v>0</v>
          </cell>
          <cell r="AO108" t="str">
            <v/>
          </cell>
          <cell r="AP108">
            <v>0</v>
          </cell>
          <cell r="AQ108" t="str">
            <v/>
          </cell>
          <cell r="AR108">
            <v>0</v>
          </cell>
          <cell r="AS108" t="str">
            <v/>
          </cell>
          <cell r="AT108" t="str">
            <v/>
          </cell>
          <cell r="AU108">
            <v>0</v>
          </cell>
          <cell r="AV108" t="str">
            <v/>
          </cell>
          <cell r="AW108" t="e">
            <v>#N/A</v>
          </cell>
          <cell r="AX108" t="e">
            <v>#N/A</v>
          </cell>
          <cell r="AY108" t="str">
            <v/>
          </cell>
          <cell r="AZ108">
            <v>0</v>
          </cell>
          <cell r="BA108" t="str">
            <v/>
          </cell>
          <cell r="BB108">
            <v>0</v>
          </cell>
          <cell r="BC108" t="str">
            <v/>
          </cell>
        </row>
        <row r="109">
          <cell r="AF109" t="str">
            <v/>
          </cell>
          <cell r="AG109" t="str">
            <v/>
          </cell>
          <cell r="AH109">
            <v>0</v>
          </cell>
          <cell r="AI109">
            <v>0</v>
          </cell>
          <cell r="AJ109" t="e">
            <v>#N/A</v>
          </cell>
          <cell r="AK109" t="e">
            <v>#N/A</v>
          </cell>
          <cell r="AL109" t="e">
            <v>#N/A</v>
          </cell>
          <cell r="AM109" t="str">
            <v/>
          </cell>
          <cell r="AN109">
            <v>0</v>
          </cell>
          <cell r="AO109" t="str">
            <v/>
          </cell>
          <cell r="AP109">
            <v>0</v>
          </cell>
          <cell r="AQ109" t="str">
            <v/>
          </cell>
          <cell r="AR109">
            <v>0</v>
          </cell>
          <cell r="AS109" t="str">
            <v/>
          </cell>
          <cell r="AT109" t="str">
            <v/>
          </cell>
          <cell r="AU109">
            <v>0</v>
          </cell>
          <cell r="AV109" t="str">
            <v/>
          </cell>
          <cell r="AW109" t="e">
            <v>#N/A</v>
          </cell>
          <cell r="AX109" t="e">
            <v>#N/A</v>
          </cell>
          <cell r="AY109" t="str">
            <v/>
          </cell>
          <cell r="AZ109">
            <v>0</v>
          </cell>
          <cell r="BA109" t="str">
            <v/>
          </cell>
          <cell r="BB109">
            <v>0</v>
          </cell>
          <cell r="BC109" t="str">
            <v/>
          </cell>
        </row>
        <row r="110">
          <cell r="AF110" t="str">
            <v/>
          </cell>
          <cell r="AG110" t="str">
            <v/>
          </cell>
          <cell r="AH110">
            <v>0</v>
          </cell>
          <cell r="AI110">
            <v>0</v>
          </cell>
          <cell r="AJ110" t="e">
            <v>#N/A</v>
          </cell>
          <cell r="AK110" t="e">
            <v>#N/A</v>
          </cell>
          <cell r="AL110" t="e">
            <v>#N/A</v>
          </cell>
          <cell r="AM110" t="str">
            <v/>
          </cell>
          <cell r="AN110">
            <v>0</v>
          </cell>
          <cell r="AO110" t="str">
            <v/>
          </cell>
          <cell r="AP110">
            <v>0</v>
          </cell>
          <cell r="AQ110" t="str">
            <v/>
          </cell>
          <cell r="AR110">
            <v>0</v>
          </cell>
          <cell r="AS110" t="str">
            <v/>
          </cell>
          <cell r="AT110" t="str">
            <v/>
          </cell>
          <cell r="AU110">
            <v>0</v>
          </cell>
          <cell r="AV110" t="str">
            <v/>
          </cell>
          <cell r="AW110" t="e">
            <v>#N/A</v>
          </cell>
          <cell r="AX110" t="e">
            <v>#N/A</v>
          </cell>
          <cell r="AY110" t="str">
            <v/>
          </cell>
          <cell r="AZ110">
            <v>0</v>
          </cell>
          <cell r="BA110" t="str">
            <v/>
          </cell>
          <cell r="BB110">
            <v>0</v>
          </cell>
          <cell r="BC110" t="str">
            <v/>
          </cell>
        </row>
        <row r="111">
          <cell r="AF111" t="str">
            <v/>
          </cell>
          <cell r="AG111" t="str">
            <v/>
          </cell>
          <cell r="AH111">
            <v>0</v>
          </cell>
          <cell r="AI111">
            <v>0</v>
          </cell>
          <cell r="AJ111" t="e">
            <v>#N/A</v>
          </cell>
          <cell r="AK111" t="e">
            <v>#N/A</v>
          </cell>
          <cell r="AL111" t="e">
            <v>#N/A</v>
          </cell>
          <cell r="AM111" t="str">
            <v/>
          </cell>
          <cell r="AN111">
            <v>0</v>
          </cell>
          <cell r="AO111" t="str">
            <v/>
          </cell>
          <cell r="AP111">
            <v>0</v>
          </cell>
          <cell r="AQ111" t="str">
            <v/>
          </cell>
          <cell r="AR111">
            <v>0</v>
          </cell>
          <cell r="AS111" t="str">
            <v/>
          </cell>
          <cell r="AT111" t="str">
            <v/>
          </cell>
          <cell r="AU111">
            <v>0</v>
          </cell>
          <cell r="AV111" t="str">
            <v/>
          </cell>
          <cell r="AW111" t="e">
            <v>#N/A</v>
          </cell>
          <cell r="AX111" t="e">
            <v>#N/A</v>
          </cell>
          <cell r="AY111" t="str">
            <v/>
          </cell>
          <cell r="AZ111">
            <v>0</v>
          </cell>
          <cell r="BA111" t="str">
            <v/>
          </cell>
          <cell r="BB111">
            <v>0</v>
          </cell>
          <cell r="BC111" t="str">
            <v/>
          </cell>
        </row>
        <row r="112">
          <cell r="AF112" t="str">
            <v/>
          </cell>
          <cell r="AG112" t="str">
            <v/>
          </cell>
          <cell r="AH112">
            <v>0</v>
          </cell>
          <cell r="AI112">
            <v>0</v>
          </cell>
          <cell r="AJ112" t="e">
            <v>#N/A</v>
          </cell>
          <cell r="AK112" t="e">
            <v>#N/A</v>
          </cell>
          <cell r="AL112" t="e">
            <v>#N/A</v>
          </cell>
          <cell r="AM112" t="str">
            <v/>
          </cell>
          <cell r="AN112">
            <v>0</v>
          </cell>
          <cell r="AO112" t="str">
            <v/>
          </cell>
          <cell r="AP112">
            <v>0</v>
          </cell>
          <cell r="AQ112" t="str">
            <v/>
          </cell>
          <cell r="AR112">
            <v>0</v>
          </cell>
          <cell r="AS112" t="str">
            <v/>
          </cell>
          <cell r="AT112" t="str">
            <v/>
          </cell>
          <cell r="AU112">
            <v>0</v>
          </cell>
          <cell r="AV112" t="str">
            <v/>
          </cell>
          <cell r="AW112" t="e">
            <v>#N/A</v>
          </cell>
          <cell r="AX112" t="e">
            <v>#N/A</v>
          </cell>
          <cell r="AY112" t="str">
            <v/>
          </cell>
          <cell r="AZ112">
            <v>0</v>
          </cell>
          <cell r="BA112" t="str">
            <v/>
          </cell>
          <cell r="BB112">
            <v>0</v>
          </cell>
          <cell r="BC112" t="str">
            <v/>
          </cell>
        </row>
        <row r="113">
          <cell r="AF113" t="str">
            <v/>
          </cell>
          <cell r="AG113" t="str">
            <v/>
          </cell>
          <cell r="AH113">
            <v>0</v>
          </cell>
          <cell r="AI113">
            <v>0</v>
          </cell>
          <cell r="AJ113" t="e">
            <v>#N/A</v>
          </cell>
          <cell r="AK113" t="e">
            <v>#N/A</v>
          </cell>
          <cell r="AL113" t="e">
            <v>#N/A</v>
          </cell>
          <cell r="AM113" t="str">
            <v/>
          </cell>
          <cell r="AN113">
            <v>0</v>
          </cell>
          <cell r="AO113" t="str">
            <v/>
          </cell>
          <cell r="AP113">
            <v>0</v>
          </cell>
          <cell r="AQ113" t="str">
            <v/>
          </cell>
          <cell r="AR113">
            <v>0</v>
          </cell>
          <cell r="AS113" t="str">
            <v/>
          </cell>
          <cell r="AT113" t="str">
            <v/>
          </cell>
          <cell r="AU113">
            <v>0</v>
          </cell>
          <cell r="AV113" t="str">
            <v/>
          </cell>
          <cell r="AW113" t="e">
            <v>#N/A</v>
          </cell>
          <cell r="AX113" t="e">
            <v>#N/A</v>
          </cell>
          <cell r="AY113" t="str">
            <v/>
          </cell>
          <cell r="AZ113">
            <v>0</v>
          </cell>
          <cell r="BA113" t="str">
            <v/>
          </cell>
          <cell r="BB113">
            <v>0</v>
          </cell>
          <cell r="BC113" t="str">
            <v/>
          </cell>
        </row>
        <row r="114">
          <cell r="AF114" t="str">
            <v/>
          </cell>
          <cell r="AG114" t="str">
            <v/>
          </cell>
          <cell r="AH114">
            <v>0</v>
          </cell>
          <cell r="AI114">
            <v>0</v>
          </cell>
          <cell r="AJ114" t="e">
            <v>#N/A</v>
          </cell>
          <cell r="AK114" t="e">
            <v>#N/A</v>
          </cell>
          <cell r="AL114" t="e">
            <v>#N/A</v>
          </cell>
          <cell r="AM114" t="str">
            <v/>
          </cell>
          <cell r="AN114">
            <v>0</v>
          </cell>
          <cell r="AO114" t="str">
            <v/>
          </cell>
          <cell r="AP114">
            <v>0</v>
          </cell>
          <cell r="AQ114" t="str">
            <v/>
          </cell>
          <cell r="AR114">
            <v>0</v>
          </cell>
          <cell r="AS114" t="str">
            <v/>
          </cell>
          <cell r="AT114" t="str">
            <v/>
          </cell>
          <cell r="AU114">
            <v>0</v>
          </cell>
          <cell r="AV114" t="str">
            <v/>
          </cell>
          <cell r="AW114" t="e">
            <v>#N/A</v>
          </cell>
          <cell r="AX114" t="e">
            <v>#N/A</v>
          </cell>
          <cell r="AY114" t="str">
            <v/>
          </cell>
          <cell r="AZ114">
            <v>0</v>
          </cell>
          <cell r="BA114" t="str">
            <v/>
          </cell>
          <cell r="BB114">
            <v>0</v>
          </cell>
          <cell r="BC114" t="str">
            <v/>
          </cell>
        </row>
        <row r="115">
          <cell r="AF115" t="str">
            <v/>
          </cell>
          <cell r="AG115" t="str">
            <v/>
          </cell>
          <cell r="AH115">
            <v>0</v>
          </cell>
          <cell r="AI115">
            <v>0</v>
          </cell>
          <cell r="AJ115" t="e">
            <v>#N/A</v>
          </cell>
          <cell r="AK115" t="e">
            <v>#N/A</v>
          </cell>
          <cell r="AL115" t="e">
            <v>#N/A</v>
          </cell>
          <cell r="AM115" t="str">
            <v/>
          </cell>
          <cell r="AN115">
            <v>0</v>
          </cell>
          <cell r="AO115" t="str">
            <v/>
          </cell>
          <cell r="AP115">
            <v>0</v>
          </cell>
          <cell r="AQ115" t="str">
            <v/>
          </cell>
          <cell r="AR115">
            <v>0</v>
          </cell>
          <cell r="AS115" t="str">
            <v/>
          </cell>
          <cell r="AT115" t="str">
            <v/>
          </cell>
          <cell r="AU115">
            <v>0</v>
          </cell>
          <cell r="AV115" t="str">
            <v/>
          </cell>
          <cell r="AW115" t="e">
            <v>#N/A</v>
          </cell>
          <cell r="AX115" t="e">
            <v>#N/A</v>
          </cell>
          <cell r="AY115" t="str">
            <v/>
          </cell>
          <cell r="AZ115">
            <v>0</v>
          </cell>
          <cell r="BA115" t="str">
            <v/>
          </cell>
          <cell r="BB115">
            <v>0</v>
          </cell>
          <cell r="BC115" t="str">
            <v/>
          </cell>
        </row>
        <row r="116">
          <cell r="AF116" t="str">
            <v/>
          </cell>
          <cell r="AG116" t="str">
            <v/>
          </cell>
          <cell r="AH116">
            <v>0</v>
          </cell>
          <cell r="AI116">
            <v>0</v>
          </cell>
          <cell r="AJ116" t="e">
            <v>#N/A</v>
          </cell>
          <cell r="AK116" t="e">
            <v>#N/A</v>
          </cell>
          <cell r="AL116" t="e">
            <v>#N/A</v>
          </cell>
          <cell r="AM116" t="str">
            <v/>
          </cell>
          <cell r="AN116">
            <v>0</v>
          </cell>
          <cell r="AO116" t="str">
            <v/>
          </cell>
          <cell r="AP116">
            <v>0</v>
          </cell>
          <cell r="AQ116" t="str">
            <v/>
          </cell>
          <cell r="AR116">
            <v>0</v>
          </cell>
          <cell r="AS116" t="str">
            <v/>
          </cell>
          <cell r="AT116" t="str">
            <v/>
          </cell>
          <cell r="AU116">
            <v>0</v>
          </cell>
          <cell r="AV116" t="str">
            <v/>
          </cell>
          <cell r="AW116" t="e">
            <v>#N/A</v>
          </cell>
          <cell r="AX116" t="e">
            <v>#N/A</v>
          </cell>
          <cell r="AY116" t="str">
            <v/>
          </cell>
          <cell r="AZ116">
            <v>0</v>
          </cell>
          <cell r="BA116" t="str">
            <v/>
          </cell>
          <cell r="BB116">
            <v>0</v>
          </cell>
          <cell r="BC116" t="str">
            <v/>
          </cell>
        </row>
        <row r="117">
          <cell r="AF117" t="str">
            <v/>
          </cell>
          <cell r="AG117" t="str">
            <v/>
          </cell>
          <cell r="AH117">
            <v>0</v>
          </cell>
          <cell r="AI117">
            <v>0</v>
          </cell>
          <cell r="AJ117" t="e">
            <v>#N/A</v>
          </cell>
          <cell r="AK117" t="e">
            <v>#N/A</v>
          </cell>
          <cell r="AL117" t="e">
            <v>#N/A</v>
          </cell>
          <cell r="AM117" t="str">
            <v/>
          </cell>
          <cell r="AN117">
            <v>0</v>
          </cell>
          <cell r="AO117" t="str">
            <v/>
          </cell>
          <cell r="AP117">
            <v>0</v>
          </cell>
          <cell r="AQ117" t="str">
            <v/>
          </cell>
          <cell r="AR117">
            <v>0</v>
          </cell>
          <cell r="AS117" t="str">
            <v/>
          </cell>
          <cell r="AT117" t="str">
            <v/>
          </cell>
          <cell r="AU117">
            <v>0</v>
          </cell>
          <cell r="AV117" t="str">
            <v/>
          </cell>
          <cell r="AW117" t="e">
            <v>#N/A</v>
          </cell>
          <cell r="AX117" t="e">
            <v>#N/A</v>
          </cell>
          <cell r="AY117" t="str">
            <v/>
          </cell>
          <cell r="AZ117">
            <v>0</v>
          </cell>
          <cell r="BA117" t="str">
            <v/>
          </cell>
          <cell r="BB117">
            <v>0</v>
          </cell>
          <cell r="BC117" t="str">
            <v/>
          </cell>
        </row>
        <row r="118">
          <cell r="AF118" t="str">
            <v/>
          </cell>
          <cell r="AG118" t="str">
            <v/>
          </cell>
          <cell r="AH118">
            <v>0</v>
          </cell>
          <cell r="AI118">
            <v>0</v>
          </cell>
          <cell r="AJ118" t="e">
            <v>#N/A</v>
          </cell>
          <cell r="AK118" t="e">
            <v>#N/A</v>
          </cell>
          <cell r="AL118" t="e">
            <v>#N/A</v>
          </cell>
          <cell r="AM118" t="str">
            <v/>
          </cell>
          <cell r="AN118">
            <v>0</v>
          </cell>
          <cell r="AO118" t="str">
            <v/>
          </cell>
          <cell r="AP118">
            <v>0</v>
          </cell>
          <cell r="AQ118" t="str">
            <v/>
          </cell>
          <cell r="AR118">
            <v>0</v>
          </cell>
          <cell r="AS118" t="str">
            <v/>
          </cell>
          <cell r="AT118" t="str">
            <v/>
          </cell>
          <cell r="AU118">
            <v>0</v>
          </cell>
          <cell r="AV118" t="str">
            <v/>
          </cell>
          <cell r="AW118" t="e">
            <v>#N/A</v>
          </cell>
          <cell r="AX118" t="e">
            <v>#N/A</v>
          </cell>
          <cell r="AY118" t="str">
            <v/>
          </cell>
          <cell r="AZ118">
            <v>0</v>
          </cell>
          <cell r="BA118" t="str">
            <v/>
          </cell>
          <cell r="BB118">
            <v>0</v>
          </cell>
          <cell r="BC118" t="str">
            <v/>
          </cell>
        </row>
        <row r="119">
          <cell r="AF119" t="str">
            <v/>
          </cell>
          <cell r="AG119" t="str">
            <v/>
          </cell>
          <cell r="AH119">
            <v>0</v>
          </cell>
          <cell r="AI119">
            <v>0</v>
          </cell>
          <cell r="AJ119" t="e">
            <v>#N/A</v>
          </cell>
          <cell r="AK119" t="e">
            <v>#N/A</v>
          </cell>
          <cell r="AL119" t="e">
            <v>#N/A</v>
          </cell>
          <cell r="AM119" t="str">
            <v/>
          </cell>
          <cell r="AN119">
            <v>0</v>
          </cell>
          <cell r="AO119" t="str">
            <v/>
          </cell>
          <cell r="AP119">
            <v>0</v>
          </cell>
          <cell r="AQ119" t="str">
            <v/>
          </cell>
          <cell r="AR119">
            <v>0</v>
          </cell>
          <cell r="AS119" t="str">
            <v/>
          </cell>
          <cell r="AT119" t="str">
            <v/>
          </cell>
          <cell r="AU119">
            <v>0</v>
          </cell>
          <cell r="AV119" t="str">
            <v/>
          </cell>
          <cell r="AW119" t="e">
            <v>#N/A</v>
          </cell>
          <cell r="AX119" t="e">
            <v>#N/A</v>
          </cell>
          <cell r="AY119" t="str">
            <v/>
          </cell>
          <cell r="AZ119">
            <v>0</v>
          </cell>
          <cell r="BA119" t="str">
            <v/>
          </cell>
          <cell r="BB119">
            <v>0</v>
          </cell>
          <cell r="BC119" t="str">
            <v/>
          </cell>
        </row>
        <row r="120">
          <cell r="AF120" t="str">
            <v/>
          </cell>
          <cell r="AG120" t="str">
            <v/>
          </cell>
          <cell r="AH120">
            <v>0</v>
          </cell>
          <cell r="AI120">
            <v>0</v>
          </cell>
          <cell r="AJ120" t="e">
            <v>#N/A</v>
          </cell>
          <cell r="AK120" t="e">
            <v>#N/A</v>
          </cell>
          <cell r="AL120" t="e">
            <v>#N/A</v>
          </cell>
          <cell r="AM120" t="str">
            <v/>
          </cell>
          <cell r="AN120">
            <v>0</v>
          </cell>
          <cell r="AO120" t="str">
            <v/>
          </cell>
          <cell r="AP120">
            <v>0</v>
          </cell>
          <cell r="AQ120" t="str">
            <v/>
          </cell>
          <cell r="AR120">
            <v>0</v>
          </cell>
          <cell r="AS120" t="str">
            <v/>
          </cell>
          <cell r="AT120" t="str">
            <v/>
          </cell>
          <cell r="AU120">
            <v>0</v>
          </cell>
          <cell r="AV120" t="str">
            <v/>
          </cell>
          <cell r="AW120" t="e">
            <v>#N/A</v>
          </cell>
          <cell r="AX120" t="e">
            <v>#N/A</v>
          </cell>
          <cell r="AY120" t="str">
            <v/>
          </cell>
          <cell r="AZ120">
            <v>0</v>
          </cell>
          <cell r="BA120" t="str">
            <v/>
          </cell>
          <cell r="BB120">
            <v>0</v>
          </cell>
          <cell r="BC120" t="str">
            <v/>
          </cell>
        </row>
        <row r="121">
          <cell r="AF121" t="str">
            <v/>
          </cell>
          <cell r="AG121" t="str">
            <v/>
          </cell>
          <cell r="AH121">
            <v>0</v>
          </cell>
          <cell r="AI121">
            <v>0</v>
          </cell>
          <cell r="AJ121" t="e">
            <v>#N/A</v>
          </cell>
          <cell r="AK121" t="e">
            <v>#N/A</v>
          </cell>
          <cell r="AL121" t="e">
            <v>#N/A</v>
          </cell>
          <cell r="AM121" t="str">
            <v/>
          </cell>
          <cell r="AN121">
            <v>0</v>
          </cell>
          <cell r="AO121" t="str">
            <v/>
          </cell>
          <cell r="AP121">
            <v>0</v>
          </cell>
          <cell r="AQ121" t="str">
            <v/>
          </cell>
          <cell r="AR121">
            <v>0</v>
          </cell>
          <cell r="AS121" t="str">
            <v/>
          </cell>
          <cell r="AT121" t="str">
            <v/>
          </cell>
          <cell r="AU121">
            <v>0</v>
          </cell>
          <cell r="AV121" t="str">
            <v/>
          </cell>
          <cell r="AW121" t="e">
            <v>#N/A</v>
          </cell>
          <cell r="AX121" t="e">
            <v>#N/A</v>
          </cell>
          <cell r="AY121" t="str">
            <v/>
          </cell>
          <cell r="AZ121">
            <v>0</v>
          </cell>
          <cell r="BA121" t="str">
            <v/>
          </cell>
          <cell r="BB121">
            <v>0</v>
          </cell>
          <cell r="BC121" t="str">
            <v/>
          </cell>
        </row>
        <row r="122">
          <cell r="AF122" t="str">
            <v/>
          </cell>
          <cell r="AG122" t="str">
            <v/>
          </cell>
          <cell r="AH122">
            <v>0</v>
          </cell>
          <cell r="AI122">
            <v>0</v>
          </cell>
          <cell r="AJ122" t="e">
            <v>#N/A</v>
          </cell>
          <cell r="AK122" t="e">
            <v>#N/A</v>
          </cell>
          <cell r="AL122" t="e">
            <v>#N/A</v>
          </cell>
          <cell r="AM122" t="str">
            <v/>
          </cell>
          <cell r="AN122">
            <v>0</v>
          </cell>
          <cell r="AO122" t="str">
            <v/>
          </cell>
          <cell r="AP122">
            <v>0</v>
          </cell>
          <cell r="AQ122" t="str">
            <v/>
          </cell>
          <cell r="AR122">
            <v>0</v>
          </cell>
          <cell r="AS122" t="str">
            <v/>
          </cell>
          <cell r="AT122" t="str">
            <v/>
          </cell>
          <cell r="AU122">
            <v>0</v>
          </cell>
          <cell r="AV122" t="str">
            <v/>
          </cell>
          <cell r="AW122" t="e">
            <v>#N/A</v>
          </cell>
          <cell r="AX122" t="e">
            <v>#N/A</v>
          </cell>
          <cell r="AY122" t="str">
            <v/>
          </cell>
          <cell r="AZ122">
            <v>0</v>
          </cell>
          <cell r="BA122" t="str">
            <v/>
          </cell>
          <cell r="BB122">
            <v>0</v>
          </cell>
          <cell r="BC122" t="str">
            <v/>
          </cell>
        </row>
        <row r="123">
          <cell r="AF123" t="str">
            <v/>
          </cell>
          <cell r="AG123" t="str">
            <v/>
          </cell>
          <cell r="AH123">
            <v>0</v>
          </cell>
          <cell r="AI123">
            <v>0</v>
          </cell>
          <cell r="AJ123" t="e">
            <v>#N/A</v>
          </cell>
          <cell r="AK123" t="e">
            <v>#N/A</v>
          </cell>
          <cell r="AL123" t="e">
            <v>#N/A</v>
          </cell>
          <cell r="AM123" t="str">
            <v/>
          </cell>
          <cell r="AN123">
            <v>0</v>
          </cell>
          <cell r="AO123" t="str">
            <v/>
          </cell>
          <cell r="AP123">
            <v>0</v>
          </cell>
          <cell r="AQ123" t="str">
            <v/>
          </cell>
          <cell r="AR123">
            <v>0</v>
          </cell>
          <cell r="AS123" t="str">
            <v/>
          </cell>
          <cell r="AT123" t="str">
            <v/>
          </cell>
          <cell r="AU123">
            <v>0</v>
          </cell>
          <cell r="AV123" t="str">
            <v/>
          </cell>
          <cell r="AW123" t="e">
            <v>#N/A</v>
          </cell>
          <cell r="AX123" t="e">
            <v>#N/A</v>
          </cell>
          <cell r="AY123" t="str">
            <v/>
          </cell>
          <cell r="AZ123">
            <v>0</v>
          </cell>
          <cell r="BA123" t="str">
            <v/>
          </cell>
          <cell r="BB123">
            <v>0</v>
          </cell>
          <cell r="BC123" t="str">
            <v/>
          </cell>
        </row>
        <row r="124">
          <cell r="AF124" t="str">
            <v/>
          </cell>
          <cell r="AG124" t="str">
            <v/>
          </cell>
          <cell r="AH124">
            <v>0</v>
          </cell>
          <cell r="AI124">
            <v>0</v>
          </cell>
          <cell r="AJ124" t="e">
            <v>#N/A</v>
          </cell>
          <cell r="AK124" t="e">
            <v>#N/A</v>
          </cell>
          <cell r="AL124" t="e">
            <v>#N/A</v>
          </cell>
          <cell r="AM124" t="str">
            <v/>
          </cell>
          <cell r="AN124">
            <v>0</v>
          </cell>
          <cell r="AO124" t="str">
            <v/>
          </cell>
          <cell r="AP124">
            <v>0</v>
          </cell>
          <cell r="AQ124" t="str">
            <v/>
          </cell>
          <cell r="AR124">
            <v>0</v>
          </cell>
          <cell r="AS124" t="str">
            <v/>
          </cell>
          <cell r="AT124" t="str">
            <v/>
          </cell>
          <cell r="AU124">
            <v>0</v>
          </cell>
          <cell r="AV124" t="str">
            <v/>
          </cell>
          <cell r="AW124" t="e">
            <v>#N/A</v>
          </cell>
          <cell r="AX124" t="e">
            <v>#N/A</v>
          </cell>
          <cell r="AY124" t="str">
            <v/>
          </cell>
          <cell r="AZ124">
            <v>0</v>
          </cell>
          <cell r="BA124" t="str">
            <v/>
          </cell>
          <cell r="BB124">
            <v>0</v>
          </cell>
          <cell r="BC124" t="str">
            <v/>
          </cell>
        </row>
        <row r="125">
          <cell r="AF125" t="str">
            <v/>
          </cell>
          <cell r="AG125" t="str">
            <v/>
          </cell>
          <cell r="AH125">
            <v>0</v>
          </cell>
          <cell r="AI125">
            <v>0</v>
          </cell>
          <cell r="AJ125" t="e">
            <v>#N/A</v>
          </cell>
          <cell r="AK125" t="e">
            <v>#N/A</v>
          </cell>
          <cell r="AL125" t="e">
            <v>#N/A</v>
          </cell>
          <cell r="AM125" t="str">
            <v/>
          </cell>
          <cell r="AN125">
            <v>0</v>
          </cell>
          <cell r="AO125" t="str">
            <v/>
          </cell>
          <cell r="AP125">
            <v>0</v>
          </cell>
          <cell r="AQ125" t="str">
            <v/>
          </cell>
          <cell r="AR125">
            <v>0</v>
          </cell>
          <cell r="AS125" t="str">
            <v/>
          </cell>
          <cell r="AT125" t="str">
            <v/>
          </cell>
          <cell r="AU125">
            <v>0</v>
          </cell>
          <cell r="AV125" t="str">
            <v/>
          </cell>
          <cell r="AW125" t="e">
            <v>#N/A</v>
          </cell>
          <cell r="AX125" t="e">
            <v>#N/A</v>
          </cell>
          <cell r="AY125" t="str">
            <v/>
          </cell>
          <cell r="AZ125">
            <v>0</v>
          </cell>
          <cell r="BA125" t="str">
            <v/>
          </cell>
          <cell r="BB125">
            <v>0</v>
          </cell>
          <cell r="BC125" t="str">
            <v/>
          </cell>
        </row>
        <row r="126">
          <cell r="AF126" t="str">
            <v/>
          </cell>
          <cell r="AG126" t="str">
            <v/>
          </cell>
          <cell r="AH126">
            <v>0</v>
          </cell>
          <cell r="AI126">
            <v>0</v>
          </cell>
          <cell r="AJ126" t="e">
            <v>#N/A</v>
          </cell>
          <cell r="AK126" t="e">
            <v>#N/A</v>
          </cell>
          <cell r="AL126" t="e">
            <v>#N/A</v>
          </cell>
          <cell r="AM126" t="str">
            <v/>
          </cell>
          <cell r="AN126">
            <v>0</v>
          </cell>
          <cell r="AO126" t="str">
            <v/>
          </cell>
          <cell r="AP126">
            <v>0</v>
          </cell>
          <cell r="AQ126" t="str">
            <v/>
          </cell>
          <cell r="AR126">
            <v>0</v>
          </cell>
          <cell r="AS126" t="str">
            <v/>
          </cell>
          <cell r="AT126" t="str">
            <v/>
          </cell>
          <cell r="AU126">
            <v>0</v>
          </cell>
          <cell r="AV126" t="str">
            <v/>
          </cell>
          <cell r="AW126" t="e">
            <v>#N/A</v>
          </cell>
          <cell r="AX126" t="e">
            <v>#N/A</v>
          </cell>
          <cell r="AY126" t="str">
            <v/>
          </cell>
          <cell r="AZ126">
            <v>0</v>
          </cell>
          <cell r="BA126" t="str">
            <v/>
          </cell>
          <cell r="BB126">
            <v>0</v>
          </cell>
          <cell r="BC126" t="str">
            <v/>
          </cell>
        </row>
        <row r="127">
          <cell r="AF127" t="str">
            <v/>
          </cell>
          <cell r="AG127" t="str">
            <v/>
          </cell>
          <cell r="AH127">
            <v>0</v>
          </cell>
          <cell r="AI127">
            <v>0</v>
          </cell>
          <cell r="AJ127" t="e">
            <v>#N/A</v>
          </cell>
          <cell r="AK127" t="e">
            <v>#N/A</v>
          </cell>
          <cell r="AL127" t="e">
            <v>#N/A</v>
          </cell>
          <cell r="AM127" t="str">
            <v/>
          </cell>
          <cell r="AN127">
            <v>0</v>
          </cell>
          <cell r="AO127" t="str">
            <v/>
          </cell>
          <cell r="AP127">
            <v>0</v>
          </cell>
          <cell r="AQ127" t="str">
            <v/>
          </cell>
          <cell r="AR127">
            <v>0</v>
          </cell>
          <cell r="AS127" t="str">
            <v/>
          </cell>
          <cell r="AT127" t="str">
            <v/>
          </cell>
          <cell r="AU127">
            <v>0</v>
          </cell>
          <cell r="AV127" t="str">
            <v/>
          </cell>
          <cell r="AW127" t="e">
            <v>#N/A</v>
          </cell>
          <cell r="AX127" t="e">
            <v>#N/A</v>
          </cell>
          <cell r="AY127" t="str">
            <v/>
          </cell>
          <cell r="AZ127">
            <v>0</v>
          </cell>
          <cell r="BA127" t="str">
            <v/>
          </cell>
          <cell r="BB127">
            <v>0</v>
          </cell>
          <cell r="BC127" t="str">
            <v/>
          </cell>
        </row>
        <row r="128">
          <cell r="AF128" t="str">
            <v/>
          </cell>
          <cell r="AG128" t="str">
            <v/>
          </cell>
          <cell r="AH128">
            <v>0</v>
          </cell>
          <cell r="AI128">
            <v>0</v>
          </cell>
          <cell r="AJ128" t="e">
            <v>#N/A</v>
          </cell>
          <cell r="AK128" t="e">
            <v>#N/A</v>
          </cell>
          <cell r="AL128" t="e">
            <v>#N/A</v>
          </cell>
          <cell r="AM128" t="str">
            <v/>
          </cell>
          <cell r="AN128">
            <v>0</v>
          </cell>
          <cell r="AO128" t="str">
            <v/>
          </cell>
          <cell r="AP128">
            <v>0</v>
          </cell>
          <cell r="AQ128" t="str">
            <v/>
          </cell>
          <cell r="AR128">
            <v>0</v>
          </cell>
          <cell r="AS128" t="str">
            <v/>
          </cell>
          <cell r="AT128" t="str">
            <v/>
          </cell>
          <cell r="AU128">
            <v>0</v>
          </cell>
          <cell r="AV128" t="str">
            <v/>
          </cell>
          <cell r="AW128" t="e">
            <v>#N/A</v>
          </cell>
          <cell r="AX128" t="e">
            <v>#N/A</v>
          </cell>
          <cell r="AY128" t="str">
            <v/>
          </cell>
          <cell r="AZ128">
            <v>0</v>
          </cell>
          <cell r="BA128" t="str">
            <v/>
          </cell>
          <cell r="BB128">
            <v>0</v>
          </cell>
          <cell r="BC128" t="str">
            <v/>
          </cell>
        </row>
        <row r="129">
          <cell r="AF129" t="str">
            <v/>
          </cell>
          <cell r="AG129" t="str">
            <v/>
          </cell>
          <cell r="AH129">
            <v>0</v>
          </cell>
          <cell r="AI129">
            <v>0</v>
          </cell>
          <cell r="AJ129" t="e">
            <v>#N/A</v>
          </cell>
          <cell r="AK129" t="e">
            <v>#N/A</v>
          </cell>
          <cell r="AL129" t="e">
            <v>#N/A</v>
          </cell>
          <cell r="AM129" t="str">
            <v/>
          </cell>
          <cell r="AN129">
            <v>0</v>
          </cell>
          <cell r="AO129" t="str">
            <v/>
          </cell>
          <cell r="AP129">
            <v>0</v>
          </cell>
          <cell r="AQ129" t="str">
            <v/>
          </cell>
          <cell r="AR129">
            <v>0</v>
          </cell>
          <cell r="AS129" t="str">
            <v/>
          </cell>
          <cell r="AT129" t="str">
            <v/>
          </cell>
          <cell r="AU129">
            <v>0</v>
          </cell>
          <cell r="AV129" t="str">
            <v/>
          </cell>
          <cell r="AW129" t="e">
            <v>#N/A</v>
          </cell>
          <cell r="AX129" t="e">
            <v>#N/A</v>
          </cell>
          <cell r="AY129" t="str">
            <v/>
          </cell>
          <cell r="AZ129">
            <v>0</v>
          </cell>
          <cell r="BA129" t="str">
            <v/>
          </cell>
          <cell r="BB129">
            <v>0</v>
          </cell>
          <cell r="BC129" t="str">
            <v/>
          </cell>
        </row>
        <row r="130">
          <cell r="AF130" t="str">
            <v/>
          </cell>
          <cell r="AG130" t="str">
            <v/>
          </cell>
          <cell r="AH130">
            <v>0</v>
          </cell>
          <cell r="AI130">
            <v>0</v>
          </cell>
          <cell r="AJ130" t="e">
            <v>#N/A</v>
          </cell>
          <cell r="AK130" t="e">
            <v>#N/A</v>
          </cell>
          <cell r="AL130" t="e">
            <v>#N/A</v>
          </cell>
          <cell r="AM130" t="str">
            <v/>
          </cell>
          <cell r="AN130">
            <v>0</v>
          </cell>
          <cell r="AO130" t="str">
            <v/>
          </cell>
          <cell r="AP130">
            <v>0</v>
          </cell>
          <cell r="AQ130" t="str">
            <v/>
          </cell>
          <cell r="AR130">
            <v>0</v>
          </cell>
          <cell r="AS130" t="str">
            <v/>
          </cell>
          <cell r="AT130" t="str">
            <v/>
          </cell>
          <cell r="AU130">
            <v>0</v>
          </cell>
          <cell r="AV130" t="str">
            <v/>
          </cell>
          <cell r="AW130" t="e">
            <v>#N/A</v>
          </cell>
          <cell r="AX130" t="e">
            <v>#N/A</v>
          </cell>
          <cell r="AY130" t="str">
            <v/>
          </cell>
          <cell r="AZ130">
            <v>0</v>
          </cell>
          <cell r="BA130" t="str">
            <v/>
          </cell>
          <cell r="BB130">
            <v>0</v>
          </cell>
          <cell r="BC130" t="str">
            <v/>
          </cell>
        </row>
        <row r="131">
          <cell r="AF131" t="str">
            <v/>
          </cell>
          <cell r="AG131" t="str">
            <v/>
          </cell>
          <cell r="AH131">
            <v>0</v>
          </cell>
          <cell r="AI131">
            <v>0</v>
          </cell>
          <cell r="AJ131" t="e">
            <v>#N/A</v>
          </cell>
          <cell r="AK131" t="e">
            <v>#N/A</v>
          </cell>
          <cell r="AL131" t="e">
            <v>#N/A</v>
          </cell>
          <cell r="AM131" t="str">
            <v/>
          </cell>
          <cell r="AN131">
            <v>0</v>
          </cell>
          <cell r="AO131" t="str">
            <v/>
          </cell>
          <cell r="AP131">
            <v>0</v>
          </cell>
          <cell r="AQ131" t="str">
            <v/>
          </cell>
          <cell r="AR131">
            <v>0</v>
          </cell>
          <cell r="AS131" t="str">
            <v/>
          </cell>
          <cell r="AT131" t="str">
            <v/>
          </cell>
          <cell r="AU131">
            <v>0</v>
          </cell>
          <cell r="AV131" t="str">
            <v/>
          </cell>
          <cell r="AW131" t="e">
            <v>#N/A</v>
          </cell>
          <cell r="AX131" t="e">
            <v>#N/A</v>
          </cell>
          <cell r="AY131" t="str">
            <v/>
          </cell>
          <cell r="AZ131">
            <v>0</v>
          </cell>
          <cell r="BA131" t="str">
            <v/>
          </cell>
          <cell r="BB131">
            <v>0</v>
          </cell>
          <cell r="BC131" t="str">
            <v/>
          </cell>
        </row>
        <row r="132">
          <cell r="AF132" t="str">
            <v/>
          </cell>
          <cell r="AG132" t="str">
            <v/>
          </cell>
          <cell r="AH132">
            <v>0</v>
          </cell>
          <cell r="AI132">
            <v>0</v>
          </cell>
          <cell r="AJ132" t="e">
            <v>#N/A</v>
          </cell>
          <cell r="AK132" t="e">
            <v>#N/A</v>
          </cell>
          <cell r="AL132" t="e">
            <v>#N/A</v>
          </cell>
          <cell r="AM132" t="str">
            <v/>
          </cell>
          <cell r="AN132">
            <v>0</v>
          </cell>
          <cell r="AO132" t="str">
            <v/>
          </cell>
          <cell r="AP132">
            <v>0</v>
          </cell>
          <cell r="AQ132" t="str">
            <v/>
          </cell>
          <cell r="AR132">
            <v>0</v>
          </cell>
          <cell r="AS132" t="str">
            <v/>
          </cell>
          <cell r="AT132" t="str">
            <v/>
          </cell>
          <cell r="AU132">
            <v>0</v>
          </cell>
          <cell r="AV132" t="str">
            <v/>
          </cell>
          <cell r="AW132" t="e">
            <v>#N/A</v>
          </cell>
          <cell r="AX132" t="e">
            <v>#N/A</v>
          </cell>
          <cell r="AY132" t="str">
            <v/>
          </cell>
          <cell r="AZ132">
            <v>0</v>
          </cell>
          <cell r="BA132" t="str">
            <v/>
          </cell>
          <cell r="BB132">
            <v>0</v>
          </cell>
          <cell r="BC132" t="str">
            <v/>
          </cell>
        </row>
        <row r="133">
          <cell r="AF133" t="str">
            <v/>
          </cell>
          <cell r="AG133" t="str">
            <v/>
          </cell>
          <cell r="AH133">
            <v>0</v>
          </cell>
          <cell r="AI133">
            <v>0</v>
          </cell>
          <cell r="AJ133" t="e">
            <v>#N/A</v>
          </cell>
          <cell r="AK133" t="e">
            <v>#N/A</v>
          </cell>
          <cell r="AL133" t="e">
            <v>#N/A</v>
          </cell>
          <cell r="AM133" t="str">
            <v/>
          </cell>
          <cell r="AN133">
            <v>0</v>
          </cell>
          <cell r="AO133" t="str">
            <v/>
          </cell>
          <cell r="AP133">
            <v>0</v>
          </cell>
          <cell r="AQ133" t="str">
            <v/>
          </cell>
          <cell r="AR133">
            <v>0</v>
          </cell>
          <cell r="AS133" t="str">
            <v/>
          </cell>
          <cell r="AT133" t="str">
            <v/>
          </cell>
          <cell r="AU133">
            <v>0</v>
          </cell>
          <cell r="AV133" t="str">
            <v/>
          </cell>
          <cell r="AW133" t="e">
            <v>#N/A</v>
          </cell>
          <cell r="AX133" t="e">
            <v>#N/A</v>
          </cell>
          <cell r="AY133" t="str">
            <v/>
          </cell>
          <cell r="AZ133">
            <v>0</v>
          </cell>
          <cell r="BA133" t="str">
            <v/>
          </cell>
          <cell r="BB133">
            <v>0</v>
          </cell>
          <cell r="BC133" t="str">
            <v/>
          </cell>
        </row>
        <row r="134">
          <cell r="AF134" t="str">
            <v/>
          </cell>
          <cell r="AG134" t="str">
            <v/>
          </cell>
          <cell r="AH134">
            <v>0</v>
          </cell>
          <cell r="AI134">
            <v>0</v>
          </cell>
          <cell r="AJ134" t="e">
            <v>#N/A</v>
          </cell>
          <cell r="AK134" t="e">
            <v>#N/A</v>
          </cell>
          <cell r="AL134" t="e">
            <v>#N/A</v>
          </cell>
          <cell r="AM134" t="str">
            <v/>
          </cell>
          <cell r="AN134">
            <v>0</v>
          </cell>
          <cell r="AO134" t="str">
            <v/>
          </cell>
          <cell r="AP134">
            <v>0</v>
          </cell>
          <cell r="AQ134" t="str">
            <v/>
          </cell>
          <cell r="AR134">
            <v>0</v>
          </cell>
          <cell r="AS134" t="str">
            <v/>
          </cell>
          <cell r="AT134" t="str">
            <v/>
          </cell>
          <cell r="AU134">
            <v>0</v>
          </cell>
          <cell r="AV134" t="str">
            <v/>
          </cell>
          <cell r="AW134" t="e">
            <v>#N/A</v>
          </cell>
          <cell r="AX134" t="e">
            <v>#N/A</v>
          </cell>
          <cell r="AY134" t="str">
            <v/>
          </cell>
          <cell r="AZ134">
            <v>0</v>
          </cell>
          <cell r="BA134" t="str">
            <v/>
          </cell>
          <cell r="BB134">
            <v>0</v>
          </cell>
          <cell r="BC134" t="str">
            <v/>
          </cell>
        </row>
        <row r="156">
          <cell r="F156">
            <v>0</v>
          </cell>
          <cell r="G156">
            <v>0</v>
          </cell>
          <cell r="H156">
            <v>0</v>
          </cell>
        </row>
        <row r="193">
          <cell r="G193">
            <v>0</v>
          </cell>
          <cell r="H193">
            <v>0</v>
          </cell>
          <cell r="I193">
            <v>0</v>
          </cell>
        </row>
        <row r="229">
          <cell r="G229">
            <v>0</v>
          </cell>
          <cell r="H229">
            <v>0</v>
          </cell>
          <cell r="I229">
            <v>0</v>
          </cell>
        </row>
        <row r="269">
          <cell r="G269">
            <v>0</v>
          </cell>
          <cell r="H269">
            <v>0</v>
          </cell>
          <cell r="I269">
            <v>0</v>
          </cell>
        </row>
        <row r="276">
          <cell r="F276">
            <v>0</v>
          </cell>
        </row>
        <row r="278">
          <cell r="F278">
            <v>0</v>
          </cell>
        </row>
      </sheetData>
      <sheetData sheetId="6" refreshError="1">
        <row r="209">
          <cell r="F209">
            <v>0</v>
          </cell>
        </row>
        <row r="225">
          <cell r="F225">
            <v>0</v>
          </cell>
        </row>
        <row r="226">
          <cell r="F226">
            <v>0</v>
          </cell>
          <cell r="AA226" t="str">
            <v>HFC</v>
          </cell>
        </row>
        <row r="227">
          <cell r="F227">
            <v>0</v>
          </cell>
          <cell r="AA227" t="str">
            <v>PFC</v>
          </cell>
        </row>
        <row r="228">
          <cell r="F228">
            <v>0</v>
          </cell>
          <cell r="G228">
            <v>0</v>
          </cell>
          <cell r="AA228" t="str">
            <v>Compostos</v>
          </cell>
        </row>
        <row r="229">
          <cell r="F229">
            <v>0</v>
          </cell>
          <cell r="G229">
            <v>0</v>
          </cell>
        </row>
        <row r="230">
          <cell r="F230">
            <v>0</v>
          </cell>
          <cell r="G230">
            <v>0</v>
          </cell>
        </row>
        <row r="231">
          <cell r="F231">
            <v>0</v>
          </cell>
          <cell r="G231">
            <v>0</v>
          </cell>
        </row>
        <row r="232">
          <cell r="F232">
            <v>0</v>
          </cell>
          <cell r="G232">
            <v>0</v>
          </cell>
        </row>
        <row r="233">
          <cell r="F233">
            <v>0</v>
          </cell>
          <cell r="G233">
            <v>0</v>
          </cell>
        </row>
        <row r="234">
          <cell r="F234">
            <v>0</v>
          </cell>
          <cell r="G234">
            <v>0</v>
          </cell>
        </row>
        <row r="235">
          <cell r="F235">
            <v>0</v>
          </cell>
          <cell r="G235">
            <v>0</v>
          </cell>
        </row>
        <row r="236">
          <cell r="F236">
            <v>0</v>
          </cell>
          <cell r="G236">
            <v>0</v>
          </cell>
        </row>
        <row r="237">
          <cell r="F237">
            <v>0</v>
          </cell>
          <cell r="G237">
            <v>0</v>
          </cell>
        </row>
        <row r="238">
          <cell r="F238">
            <v>0</v>
          </cell>
          <cell r="G238">
            <v>0</v>
          </cell>
        </row>
        <row r="239">
          <cell r="F239">
            <v>0</v>
          </cell>
          <cell r="G239">
            <v>0</v>
          </cell>
        </row>
        <row r="240">
          <cell r="F240">
            <v>0</v>
          </cell>
          <cell r="G240">
            <v>0</v>
          </cell>
        </row>
        <row r="241">
          <cell r="F241">
            <v>0</v>
          </cell>
          <cell r="G241">
            <v>0</v>
          </cell>
        </row>
        <row r="242">
          <cell r="F242">
            <v>0</v>
          </cell>
          <cell r="G242">
            <v>0</v>
          </cell>
        </row>
        <row r="243">
          <cell r="F243">
            <v>0</v>
          </cell>
          <cell r="G243">
            <v>0</v>
          </cell>
        </row>
        <row r="244">
          <cell r="F244">
            <v>0</v>
          </cell>
          <cell r="G244">
            <v>0</v>
          </cell>
        </row>
        <row r="245">
          <cell r="F245">
            <v>0</v>
          </cell>
          <cell r="G245">
            <v>0</v>
          </cell>
        </row>
        <row r="246">
          <cell r="F246">
            <v>0</v>
          </cell>
          <cell r="G246">
            <v>0</v>
          </cell>
        </row>
        <row r="247">
          <cell r="F247">
            <v>0</v>
          </cell>
          <cell r="G247">
            <v>0</v>
          </cell>
        </row>
        <row r="248">
          <cell r="F248">
            <v>0</v>
          </cell>
          <cell r="G248">
            <v>0</v>
          </cell>
        </row>
        <row r="249">
          <cell r="F249">
            <v>0</v>
          </cell>
          <cell r="G249">
            <v>0</v>
          </cell>
        </row>
        <row r="250">
          <cell r="F250">
            <v>0</v>
          </cell>
          <cell r="G250">
            <v>0</v>
          </cell>
        </row>
        <row r="251">
          <cell r="F251">
            <v>0</v>
          </cell>
          <cell r="G251">
            <v>0</v>
          </cell>
        </row>
        <row r="252">
          <cell r="F252">
            <v>0</v>
          </cell>
          <cell r="G252">
            <v>0</v>
          </cell>
        </row>
        <row r="253">
          <cell r="F253">
            <v>0</v>
          </cell>
          <cell r="G253">
            <v>0</v>
          </cell>
        </row>
        <row r="254">
          <cell r="F254">
            <v>0</v>
          </cell>
          <cell r="G254">
            <v>0</v>
          </cell>
        </row>
        <row r="255">
          <cell r="F255">
            <v>0</v>
          </cell>
          <cell r="G255">
            <v>0</v>
          </cell>
        </row>
        <row r="256">
          <cell r="F256">
            <v>0</v>
          </cell>
          <cell r="G256">
            <v>0</v>
          </cell>
        </row>
        <row r="257">
          <cell r="F257">
            <v>0</v>
          </cell>
          <cell r="G257">
            <v>0</v>
          </cell>
        </row>
        <row r="258">
          <cell r="F258">
            <v>0</v>
          </cell>
          <cell r="G258">
            <v>0</v>
          </cell>
        </row>
        <row r="259">
          <cell r="F259">
            <v>0</v>
          </cell>
          <cell r="G259">
            <v>0</v>
          </cell>
        </row>
        <row r="260">
          <cell r="F260">
            <v>0</v>
          </cell>
          <cell r="G260">
            <v>0</v>
          </cell>
        </row>
        <row r="261">
          <cell r="F261">
            <v>0</v>
          </cell>
          <cell r="G261">
            <v>0</v>
          </cell>
        </row>
        <row r="262">
          <cell r="F262">
            <v>0</v>
          </cell>
          <cell r="G262">
            <v>0</v>
          </cell>
        </row>
        <row r="263">
          <cell r="F263">
            <v>0</v>
          </cell>
          <cell r="G263">
            <v>0</v>
          </cell>
        </row>
        <row r="264">
          <cell r="F264">
            <v>0</v>
          </cell>
          <cell r="G264">
            <v>0</v>
          </cell>
        </row>
        <row r="265">
          <cell r="F265">
            <v>0</v>
          </cell>
          <cell r="G265">
            <v>0</v>
          </cell>
        </row>
        <row r="266">
          <cell r="F266">
            <v>0</v>
          </cell>
          <cell r="G266">
            <v>0</v>
          </cell>
        </row>
        <row r="267">
          <cell r="F267">
            <v>0</v>
          </cell>
          <cell r="G267">
            <v>0</v>
          </cell>
        </row>
        <row r="268">
          <cell r="F268">
            <v>0</v>
          </cell>
          <cell r="G268">
            <v>0</v>
          </cell>
        </row>
        <row r="269">
          <cell r="F269">
            <v>0</v>
          </cell>
          <cell r="G269">
            <v>0</v>
          </cell>
        </row>
        <row r="270">
          <cell r="F270">
            <v>0</v>
          </cell>
          <cell r="G270">
            <v>0</v>
          </cell>
        </row>
        <row r="271">
          <cell r="F271">
            <v>0</v>
          </cell>
          <cell r="G271">
            <v>0</v>
          </cell>
        </row>
        <row r="272">
          <cell r="F272">
            <v>0</v>
          </cell>
          <cell r="G272">
            <v>0</v>
          </cell>
        </row>
        <row r="273">
          <cell r="F273">
            <v>0</v>
          </cell>
          <cell r="G273">
            <v>0</v>
          </cell>
        </row>
        <row r="274">
          <cell r="F274">
            <v>0</v>
          </cell>
          <cell r="G274">
            <v>0</v>
          </cell>
        </row>
        <row r="275">
          <cell r="F275">
            <v>0</v>
          </cell>
          <cell r="G275">
            <v>0</v>
          </cell>
        </row>
        <row r="276">
          <cell r="F276">
            <v>0</v>
          </cell>
          <cell r="G276">
            <v>0</v>
          </cell>
        </row>
        <row r="277">
          <cell r="F277">
            <v>0</v>
          </cell>
          <cell r="G277">
            <v>0</v>
          </cell>
        </row>
        <row r="278">
          <cell r="F278">
            <v>0</v>
          </cell>
          <cell r="G278">
            <v>0</v>
          </cell>
        </row>
        <row r="279">
          <cell r="F279">
            <v>0</v>
          </cell>
          <cell r="G279">
            <v>0</v>
          </cell>
        </row>
        <row r="280">
          <cell r="F280">
            <v>0</v>
          </cell>
          <cell r="G280">
            <v>0</v>
          </cell>
        </row>
        <row r="281">
          <cell r="F281">
            <v>0</v>
          </cell>
          <cell r="G281">
            <v>0</v>
          </cell>
        </row>
        <row r="282">
          <cell r="F282">
            <v>0</v>
          </cell>
          <cell r="G282">
            <v>0</v>
          </cell>
        </row>
        <row r="283">
          <cell r="F283">
            <v>0</v>
          </cell>
          <cell r="G283">
            <v>0</v>
          </cell>
        </row>
        <row r="284">
          <cell r="F284">
            <v>0</v>
          </cell>
          <cell r="G284">
            <v>0</v>
          </cell>
        </row>
        <row r="285">
          <cell r="F285">
            <v>0</v>
          </cell>
          <cell r="G285">
            <v>0</v>
          </cell>
        </row>
        <row r="286">
          <cell r="F286">
            <v>0</v>
          </cell>
          <cell r="G286">
            <v>0</v>
          </cell>
        </row>
        <row r="287">
          <cell r="F287">
            <v>0</v>
          </cell>
          <cell r="G287">
            <v>0</v>
          </cell>
        </row>
        <row r="288">
          <cell r="F288">
            <v>0</v>
          </cell>
          <cell r="G288">
            <v>0</v>
          </cell>
        </row>
        <row r="289">
          <cell r="F289">
            <v>0</v>
          </cell>
          <cell r="G289">
            <v>0</v>
          </cell>
        </row>
        <row r="290">
          <cell r="F290">
            <v>0</v>
          </cell>
          <cell r="G290">
            <v>0</v>
          </cell>
        </row>
        <row r="291">
          <cell r="F291">
            <v>0</v>
          </cell>
          <cell r="G291">
            <v>0</v>
          </cell>
        </row>
        <row r="292">
          <cell r="F292">
            <v>0</v>
          </cell>
          <cell r="G292">
            <v>0</v>
          </cell>
        </row>
        <row r="293">
          <cell r="F293">
            <v>0</v>
          </cell>
          <cell r="G293">
            <v>0</v>
          </cell>
        </row>
        <row r="294">
          <cell r="F294">
            <v>0</v>
          </cell>
          <cell r="G294">
            <v>0</v>
          </cell>
        </row>
        <row r="295">
          <cell r="F295">
            <v>0</v>
          </cell>
          <cell r="G295">
            <v>0</v>
          </cell>
        </row>
        <row r="296">
          <cell r="F296">
            <v>0</v>
          </cell>
          <cell r="G296">
            <v>0</v>
          </cell>
        </row>
        <row r="297">
          <cell r="F297">
            <v>0</v>
          </cell>
        </row>
      </sheetData>
      <sheetData sheetId="7" refreshError="1">
        <row r="31">
          <cell r="AE31">
            <v>0</v>
          </cell>
        </row>
        <row r="32">
          <cell r="AE32">
            <v>0</v>
          </cell>
        </row>
        <row r="33">
          <cell r="AE33">
            <v>0</v>
          </cell>
        </row>
        <row r="34">
          <cell r="AE34">
            <v>0</v>
          </cell>
          <cell r="AF34">
            <v>0</v>
          </cell>
        </row>
        <row r="35">
          <cell r="AE35">
            <v>0</v>
          </cell>
          <cell r="AF35">
            <v>0</v>
          </cell>
        </row>
        <row r="36">
          <cell r="AE36">
            <v>0</v>
          </cell>
          <cell r="AF36">
            <v>0</v>
          </cell>
        </row>
        <row r="37">
          <cell r="AE37">
            <v>0</v>
          </cell>
          <cell r="AF37">
            <v>0</v>
          </cell>
        </row>
        <row r="38">
          <cell r="AE38">
            <v>0</v>
          </cell>
          <cell r="AF38">
            <v>0</v>
          </cell>
        </row>
        <row r="39">
          <cell r="AE39">
            <v>0</v>
          </cell>
          <cell r="AF39">
            <v>0</v>
          </cell>
        </row>
        <row r="40">
          <cell r="AE40">
            <v>0</v>
          </cell>
          <cell r="AF40">
            <v>0</v>
          </cell>
        </row>
        <row r="41">
          <cell r="AE41">
            <v>0</v>
          </cell>
          <cell r="AF41">
            <v>0</v>
          </cell>
        </row>
        <row r="42">
          <cell r="AE42">
            <v>0</v>
          </cell>
          <cell r="AF42">
            <v>0</v>
          </cell>
        </row>
        <row r="43">
          <cell r="AE43">
            <v>0</v>
          </cell>
          <cell r="AF43">
            <v>0</v>
          </cell>
        </row>
        <row r="44">
          <cell r="AE44">
            <v>0</v>
          </cell>
          <cell r="AF44">
            <v>0</v>
          </cell>
        </row>
        <row r="45">
          <cell r="AE45">
            <v>0</v>
          </cell>
          <cell r="AF45">
            <v>0</v>
          </cell>
        </row>
        <row r="46">
          <cell r="AE46">
            <v>0</v>
          </cell>
          <cell r="AF46">
            <v>0</v>
          </cell>
        </row>
        <row r="47">
          <cell r="AE47">
            <v>0</v>
          </cell>
          <cell r="AF47">
            <v>0</v>
          </cell>
        </row>
        <row r="48">
          <cell r="AE48">
            <v>0</v>
          </cell>
          <cell r="AF48">
            <v>0</v>
          </cell>
        </row>
        <row r="49">
          <cell r="AE49">
            <v>0</v>
          </cell>
          <cell r="AF49">
            <v>0</v>
          </cell>
        </row>
        <row r="50">
          <cell r="AE50">
            <v>0</v>
          </cell>
          <cell r="AF50">
            <v>0</v>
          </cell>
        </row>
        <row r="51">
          <cell r="AE51">
            <v>0</v>
          </cell>
          <cell r="AF51">
            <v>0</v>
          </cell>
        </row>
        <row r="52">
          <cell r="AE52">
            <v>0</v>
          </cell>
          <cell r="AF52">
            <v>0</v>
          </cell>
        </row>
        <row r="53">
          <cell r="AE53">
            <v>0</v>
          </cell>
          <cell r="AF53">
            <v>0</v>
          </cell>
        </row>
        <row r="54">
          <cell r="AE54">
            <v>0</v>
          </cell>
          <cell r="AF54">
            <v>0</v>
          </cell>
        </row>
        <row r="55">
          <cell r="AE55">
            <v>0</v>
          </cell>
          <cell r="AF55">
            <v>0</v>
          </cell>
        </row>
        <row r="56">
          <cell r="F56">
            <v>0</v>
          </cell>
          <cell r="AE56">
            <v>0</v>
          </cell>
          <cell r="AF56">
            <v>0</v>
          </cell>
        </row>
        <row r="57">
          <cell r="AE57">
            <v>0</v>
          </cell>
          <cell r="AF57">
            <v>0</v>
          </cell>
        </row>
        <row r="58">
          <cell r="F58">
            <v>0</v>
          </cell>
          <cell r="AE58">
            <v>0</v>
          </cell>
          <cell r="AF58">
            <v>0</v>
          </cell>
        </row>
        <row r="59">
          <cell r="AE59">
            <v>0</v>
          </cell>
          <cell r="AF59">
            <v>0</v>
          </cell>
        </row>
        <row r="60">
          <cell r="AE60">
            <v>0</v>
          </cell>
          <cell r="AF60">
            <v>0</v>
          </cell>
        </row>
        <row r="61">
          <cell r="AE61">
            <v>0</v>
          </cell>
          <cell r="AF61">
            <v>0</v>
          </cell>
        </row>
        <row r="62">
          <cell r="AE62">
            <v>0</v>
          </cell>
          <cell r="AF62">
            <v>0</v>
          </cell>
        </row>
        <row r="63">
          <cell r="AE63">
            <v>0</v>
          </cell>
          <cell r="AF63">
            <v>0</v>
          </cell>
        </row>
        <row r="64">
          <cell r="AE64">
            <v>0</v>
          </cell>
          <cell r="AF64">
            <v>0</v>
          </cell>
        </row>
        <row r="65">
          <cell r="AE65">
            <v>0</v>
          </cell>
          <cell r="AF65">
            <v>0</v>
          </cell>
        </row>
        <row r="66">
          <cell r="AE66">
            <v>0</v>
          </cell>
          <cell r="AF66">
            <v>0</v>
          </cell>
        </row>
        <row r="67">
          <cell r="AE67">
            <v>0</v>
          </cell>
          <cell r="AF67">
            <v>0</v>
          </cell>
        </row>
        <row r="68">
          <cell r="AE68">
            <v>0</v>
          </cell>
          <cell r="AF68">
            <v>0</v>
          </cell>
        </row>
        <row r="69">
          <cell r="AE69">
            <v>0</v>
          </cell>
          <cell r="AF69">
            <v>0</v>
          </cell>
        </row>
        <row r="70">
          <cell r="AE70">
            <v>0</v>
          </cell>
          <cell r="AF70">
            <v>0</v>
          </cell>
        </row>
        <row r="71">
          <cell r="AE71">
            <v>0</v>
          </cell>
          <cell r="AF71">
            <v>0</v>
          </cell>
        </row>
        <row r="72">
          <cell r="AE72">
            <v>0</v>
          </cell>
          <cell r="AF72">
            <v>0</v>
          </cell>
        </row>
        <row r="73">
          <cell r="AE73">
            <v>0</v>
          </cell>
          <cell r="AF73">
            <v>0</v>
          </cell>
        </row>
        <row r="74">
          <cell r="AE74">
            <v>0</v>
          </cell>
          <cell r="AF74">
            <v>0</v>
          </cell>
        </row>
        <row r="75">
          <cell r="AE75">
            <v>0</v>
          </cell>
          <cell r="AF75">
            <v>0</v>
          </cell>
        </row>
        <row r="76">
          <cell r="AE76">
            <v>0</v>
          </cell>
          <cell r="AF76">
            <v>0</v>
          </cell>
        </row>
        <row r="77">
          <cell r="AE77">
            <v>0</v>
          </cell>
          <cell r="AF77">
            <v>0</v>
          </cell>
        </row>
        <row r="78">
          <cell r="AE78">
            <v>0</v>
          </cell>
          <cell r="AF78">
            <v>0</v>
          </cell>
        </row>
        <row r="79">
          <cell r="AE79">
            <v>0</v>
          </cell>
          <cell r="AF79">
            <v>0</v>
          </cell>
        </row>
        <row r="80">
          <cell r="AE80">
            <v>0</v>
          </cell>
          <cell r="AF80">
            <v>0</v>
          </cell>
        </row>
        <row r="81">
          <cell r="AE81">
            <v>0</v>
          </cell>
          <cell r="AF81">
            <v>0</v>
          </cell>
        </row>
        <row r="82">
          <cell r="AE82">
            <v>0</v>
          </cell>
          <cell r="AF82">
            <v>0</v>
          </cell>
        </row>
        <row r="83">
          <cell r="AE83">
            <v>0</v>
          </cell>
          <cell r="AF83">
            <v>0</v>
          </cell>
        </row>
        <row r="84">
          <cell r="AE84">
            <v>0</v>
          </cell>
          <cell r="AF84">
            <v>0</v>
          </cell>
        </row>
        <row r="85">
          <cell r="AE85">
            <v>0</v>
          </cell>
          <cell r="AF85">
            <v>0</v>
          </cell>
        </row>
        <row r="86">
          <cell r="AE86">
            <v>0</v>
          </cell>
          <cell r="AF86">
            <v>0</v>
          </cell>
        </row>
        <row r="87">
          <cell r="AE87">
            <v>0</v>
          </cell>
          <cell r="AF87">
            <v>0</v>
          </cell>
        </row>
        <row r="88">
          <cell r="AE88">
            <v>0</v>
          </cell>
          <cell r="AF88">
            <v>0</v>
          </cell>
        </row>
        <row r="89">
          <cell r="AE89">
            <v>0</v>
          </cell>
          <cell r="AF89">
            <v>0</v>
          </cell>
        </row>
        <row r="90">
          <cell r="AE90">
            <v>0</v>
          </cell>
          <cell r="AF90">
            <v>0</v>
          </cell>
        </row>
        <row r="91">
          <cell r="AE91">
            <v>0</v>
          </cell>
          <cell r="AF91">
            <v>0</v>
          </cell>
        </row>
        <row r="92">
          <cell r="AE92">
            <v>0</v>
          </cell>
          <cell r="AF92">
            <v>0</v>
          </cell>
        </row>
        <row r="93">
          <cell r="AE93">
            <v>0</v>
          </cell>
          <cell r="AF93">
            <v>0</v>
          </cell>
        </row>
        <row r="94">
          <cell r="AE94">
            <v>0</v>
          </cell>
          <cell r="AF94">
            <v>0</v>
          </cell>
        </row>
        <row r="95">
          <cell r="AE95">
            <v>0</v>
          </cell>
          <cell r="AF95">
            <v>0</v>
          </cell>
        </row>
        <row r="96">
          <cell r="AE96">
            <v>0</v>
          </cell>
          <cell r="AF96">
            <v>0</v>
          </cell>
        </row>
        <row r="97">
          <cell r="AE97">
            <v>0</v>
          </cell>
          <cell r="AF97">
            <v>0</v>
          </cell>
        </row>
        <row r="98">
          <cell r="AE98">
            <v>0</v>
          </cell>
          <cell r="AF98">
            <v>0</v>
          </cell>
        </row>
        <row r="99">
          <cell r="AE99">
            <v>0</v>
          </cell>
          <cell r="AF99">
            <v>0</v>
          </cell>
        </row>
        <row r="100">
          <cell r="AE100">
            <v>0</v>
          </cell>
          <cell r="AF100">
            <v>0</v>
          </cell>
        </row>
        <row r="101">
          <cell r="AE101">
            <v>0</v>
          </cell>
          <cell r="AF101">
            <v>0</v>
          </cell>
        </row>
        <row r="102">
          <cell r="AE102">
            <v>0</v>
          </cell>
          <cell r="AF102">
            <v>0</v>
          </cell>
        </row>
        <row r="103">
          <cell r="AE103">
            <v>0</v>
          </cell>
        </row>
      </sheetData>
      <sheetData sheetId="8" refreshError="1">
        <row r="31">
          <cell r="AE31">
            <v>0</v>
          </cell>
        </row>
        <row r="32">
          <cell r="AE32">
            <v>0</v>
          </cell>
        </row>
        <row r="33">
          <cell r="AE33">
            <v>0</v>
          </cell>
        </row>
        <row r="34">
          <cell r="AE34">
            <v>0</v>
          </cell>
          <cell r="AF34">
            <v>0</v>
          </cell>
        </row>
        <row r="35">
          <cell r="AE35">
            <v>0</v>
          </cell>
          <cell r="AF35">
            <v>0</v>
          </cell>
        </row>
        <row r="36">
          <cell r="AE36">
            <v>0</v>
          </cell>
          <cell r="AF36">
            <v>0</v>
          </cell>
        </row>
        <row r="37">
          <cell r="AE37">
            <v>0</v>
          </cell>
          <cell r="AF37">
            <v>0</v>
          </cell>
        </row>
        <row r="38">
          <cell r="AE38">
            <v>0</v>
          </cell>
          <cell r="AF38">
            <v>0</v>
          </cell>
        </row>
        <row r="39">
          <cell r="AE39">
            <v>0</v>
          </cell>
          <cell r="AF39">
            <v>0</v>
          </cell>
        </row>
        <row r="40">
          <cell r="AE40">
            <v>0</v>
          </cell>
          <cell r="AF40">
            <v>0</v>
          </cell>
        </row>
        <row r="41">
          <cell r="AE41">
            <v>0</v>
          </cell>
          <cell r="AF41">
            <v>0</v>
          </cell>
        </row>
        <row r="42">
          <cell r="AE42">
            <v>0</v>
          </cell>
          <cell r="AF42">
            <v>0</v>
          </cell>
        </row>
        <row r="43">
          <cell r="AE43">
            <v>0</v>
          </cell>
          <cell r="AF43">
            <v>0</v>
          </cell>
        </row>
        <row r="44">
          <cell r="AE44">
            <v>0</v>
          </cell>
          <cell r="AF44">
            <v>0</v>
          </cell>
        </row>
        <row r="45">
          <cell r="AE45">
            <v>0</v>
          </cell>
          <cell r="AF45">
            <v>0</v>
          </cell>
        </row>
        <row r="46">
          <cell r="AE46">
            <v>0</v>
          </cell>
          <cell r="AF46">
            <v>0</v>
          </cell>
        </row>
        <row r="47">
          <cell r="AE47">
            <v>0</v>
          </cell>
          <cell r="AF47">
            <v>0</v>
          </cell>
        </row>
        <row r="48">
          <cell r="AE48">
            <v>0</v>
          </cell>
          <cell r="AF48">
            <v>0</v>
          </cell>
        </row>
        <row r="49">
          <cell r="AE49">
            <v>0</v>
          </cell>
          <cell r="AF49">
            <v>0</v>
          </cell>
        </row>
        <row r="50">
          <cell r="AE50">
            <v>0</v>
          </cell>
          <cell r="AF50">
            <v>0</v>
          </cell>
        </row>
        <row r="51">
          <cell r="AE51">
            <v>0</v>
          </cell>
          <cell r="AF51">
            <v>0</v>
          </cell>
        </row>
        <row r="52">
          <cell r="F52">
            <v>0</v>
          </cell>
          <cell r="AE52">
            <v>0</v>
          </cell>
          <cell r="AF52">
            <v>0</v>
          </cell>
        </row>
        <row r="53">
          <cell r="AE53">
            <v>0</v>
          </cell>
          <cell r="AF53">
            <v>0</v>
          </cell>
        </row>
        <row r="54">
          <cell r="F54">
            <v>0</v>
          </cell>
          <cell r="AE54">
            <v>0</v>
          </cell>
          <cell r="AF54">
            <v>0</v>
          </cell>
        </row>
        <row r="55">
          <cell r="AE55">
            <v>0</v>
          </cell>
          <cell r="AF55">
            <v>0</v>
          </cell>
        </row>
        <row r="56">
          <cell r="AE56">
            <v>0</v>
          </cell>
          <cell r="AF56">
            <v>0</v>
          </cell>
        </row>
        <row r="57">
          <cell r="AE57">
            <v>0</v>
          </cell>
          <cell r="AF57">
            <v>0</v>
          </cell>
        </row>
        <row r="58">
          <cell r="AE58">
            <v>0</v>
          </cell>
          <cell r="AF58">
            <v>0</v>
          </cell>
        </row>
        <row r="59">
          <cell r="AE59">
            <v>0</v>
          </cell>
          <cell r="AF59">
            <v>0</v>
          </cell>
        </row>
        <row r="60">
          <cell r="AE60">
            <v>0</v>
          </cell>
          <cell r="AF60">
            <v>0</v>
          </cell>
        </row>
        <row r="61">
          <cell r="AE61">
            <v>0</v>
          </cell>
          <cell r="AF61">
            <v>0</v>
          </cell>
        </row>
        <row r="62">
          <cell r="AE62">
            <v>0</v>
          </cell>
          <cell r="AF62">
            <v>0</v>
          </cell>
        </row>
        <row r="63">
          <cell r="AE63">
            <v>0</v>
          </cell>
          <cell r="AF63">
            <v>0</v>
          </cell>
        </row>
        <row r="64">
          <cell r="AE64">
            <v>0</v>
          </cell>
          <cell r="AF64">
            <v>0</v>
          </cell>
        </row>
        <row r="65">
          <cell r="AE65">
            <v>0</v>
          </cell>
          <cell r="AF65">
            <v>0</v>
          </cell>
        </row>
        <row r="66">
          <cell r="AE66">
            <v>0</v>
          </cell>
          <cell r="AF66">
            <v>0</v>
          </cell>
        </row>
        <row r="67">
          <cell r="AE67">
            <v>0</v>
          </cell>
          <cell r="AF67">
            <v>0</v>
          </cell>
        </row>
        <row r="68">
          <cell r="AE68">
            <v>0</v>
          </cell>
          <cell r="AF68">
            <v>0</v>
          </cell>
        </row>
        <row r="69">
          <cell r="AE69">
            <v>0</v>
          </cell>
          <cell r="AF69">
            <v>0</v>
          </cell>
        </row>
        <row r="70">
          <cell r="AE70">
            <v>0</v>
          </cell>
          <cell r="AF70">
            <v>0</v>
          </cell>
        </row>
        <row r="71">
          <cell r="AE71">
            <v>0</v>
          </cell>
          <cell r="AF71">
            <v>0</v>
          </cell>
        </row>
        <row r="72">
          <cell r="AE72">
            <v>0</v>
          </cell>
          <cell r="AF72">
            <v>0</v>
          </cell>
        </row>
        <row r="73">
          <cell r="AE73">
            <v>0</v>
          </cell>
          <cell r="AF73">
            <v>0</v>
          </cell>
        </row>
        <row r="74">
          <cell r="AE74">
            <v>0</v>
          </cell>
          <cell r="AF74">
            <v>0</v>
          </cell>
        </row>
        <row r="75">
          <cell r="AE75">
            <v>0</v>
          </cell>
          <cell r="AF75">
            <v>0</v>
          </cell>
        </row>
        <row r="76">
          <cell r="AE76">
            <v>0</v>
          </cell>
          <cell r="AF76">
            <v>0</v>
          </cell>
        </row>
        <row r="77">
          <cell r="AE77">
            <v>0</v>
          </cell>
          <cell r="AF77">
            <v>0</v>
          </cell>
        </row>
        <row r="78">
          <cell r="AE78">
            <v>0</v>
          </cell>
          <cell r="AF78">
            <v>0</v>
          </cell>
        </row>
        <row r="79">
          <cell r="AE79">
            <v>0</v>
          </cell>
          <cell r="AF79">
            <v>0</v>
          </cell>
        </row>
        <row r="80">
          <cell r="AE80">
            <v>0</v>
          </cell>
          <cell r="AF80">
            <v>0</v>
          </cell>
        </row>
        <row r="81">
          <cell r="AE81">
            <v>0</v>
          </cell>
          <cell r="AF81">
            <v>0</v>
          </cell>
        </row>
        <row r="82">
          <cell r="AE82">
            <v>0</v>
          </cell>
          <cell r="AF82">
            <v>0</v>
          </cell>
        </row>
        <row r="83">
          <cell r="AE83">
            <v>0</v>
          </cell>
          <cell r="AF83">
            <v>0</v>
          </cell>
        </row>
        <row r="84">
          <cell r="AE84">
            <v>0</v>
          </cell>
          <cell r="AF84">
            <v>0</v>
          </cell>
        </row>
        <row r="85">
          <cell r="AE85">
            <v>0</v>
          </cell>
          <cell r="AF85">
            <v>0</v>
          </cell>
        </row>
        <row r="86">
          <cell r="AE86">
            <v>0</v>
          </cell>
          <cell r="AF86">
            <v>0</v>
          </cell>
        </row>
        <row r="87">
          <cell r="AE87">
            <v>0</v>
          </cell>
          <cell r="AF87">
            <v>0</v>
          </cell>
        </row>
        <row r="88">
          <cell r="AE88">
            <v>0</v>
          </cell>
          <cell r="AF88">
            <v>0</v>
          </cell>
        </row>
        <row r="89">
          <cell r="AE89">
            <v>0</v>
          </cell>
          <cell r="AF89">
            <v>0</v>
          </cell>
        </row>
        <row r="90">
          <cell r="AE90">
            <v>0</v>
          </cell>
          <cell r="AF90">
            <v>0</v>
          </cell>
        </row>
        <row r="91">
          <cell r="AE91">
            <v>0</v>
          </cell>
          <cell r="AF91">
            <v>0</v>
          </cell>
        </row>
        <row r="92">
          <cell r="AE92">
            <v>0</v>
          </cell>
          <cell r="AF92">
            <v>0</v>
          </cell>
        </row>
        <row r="93">
          <cell r="AE93">
            <v>0</v>
          </cell>
          <cell r="AF93">
            <v>0</v>
          </cell>
        </row>
        <row r="94">
          <cell r="AE94">
            <v>0</v>
          </cell>
          <cell r="AF94">
            <v>0</v>
          </cell>
        </row>
        <row r="95">
          <cell r="AE95">
            <v>0</v>
          </cell>
          <cell r="AF95">
            <v>0</v>
          </cell>
        </row>
        <row r="96">
          <cell r="AE96">
            <v>0</v>
          </cell>
          <cell r="AF96">
            <v>0</v>
          </cell>
        </row>
        <row r="97">
          <cell r="AE97">
            <v>0</v>
          </cell>
          <cell r="AF97">
            <v>0</v>
          </cell>
        </row>
        <row r="98">
          <cell r="AE98">
            <v>0</v>
          </cell>
          <cell r="AF98">
            <v>0</v>
          </cell>
        </row>
        <row r="99">
          <cell r="AE99">
            <v>0</v>
          </cell>
          <cell r="AF99">
            <v>0</v>
          </cell>
        </row>
        <row r="100">
          <cell r="AE100">
            <v>0</v>
          </cell>
          <cell r="AF100">
            <v>0</v>
          </cell>
        </row>
        <row r="101">
          <cell r="AE101">
            <v>0</v>
          </cell>
          <cell r="AF101">
            <v>0</v>
          </cell>
        </row>
        <row r="102">
          <cell r="AE102">
            <v>0</v>
          </cell>
          <cell r="AF102">
            <v>0</v>
          </cell>
        </row>
        <row r="103">
          <cell r="AE103">
            <v>0</v>
          </cell>
        </row>
      </sheetData>
      <sheetData sheetId="9" refreshError="1"/>
      <sheetData sheetId="10" refreshError="1">
        <row r="109">
          <cell r="E109">
            <v>0</v>
          </cell>
        </row>
        <row r="110">
          <cell r="E110">
            <v>0</v>
          </cell>
        </row>
        <row r="118">
          <cell r="D118">
            <v>0</v>
          </cell>
        </row>
        <row r="120">
          <cell r="D120">
            <v>0</v>
          </cell>
        </row>
      </sheetData>
      <sheetData sheetId="11" refreshError="1">
        <row r="164">
          <cell r="J164">
            <v>0</v>
          </cell>
        </row>
      </sheetData>
      <sheetData sheetId="12" refreshError="1">
        <row r="89">
          <cell r="F89">
            <v>0</v>
          </cell>
          <cell r="G89">
            <v>0</v>
          </cell>
          <cell r="H89">
            <v>0</v>
          </cell>
        </row>
        <row r="103">
          <cell r="G103">
            <v>0</v>
          </cell>
          <cell r="H103">
            <v>0</v>
          </cell>
        </row>
        <row r="108">
          <cell r="F108">
            <v>0</v>
          </cell>
        </row>
        <row r="110">
          <cell r="F110">
            <v>0</v>
          </cell>
        </row>
      </sheetData>
      <sheetData sheetId="13" refreshError="1">
        <row r="25">
          <cell r="C25">
            <v>0</v>
          </cell>
          <cell r="E25">
            <v>0</v>
          </cell>
          <cell r="G25">
            <v>0</v>
          </cell>
          <cell r="I25">
            <v>0</v>
          </cell>
        </row>
        <row r="26">
          <cell r="C26">
            <v>0</v>
          </cell>
          <cell r="E26">
            <v>0</v>
          </cell>
          <cell r="G26">
            <v>0</v>
          </cell>
          <cell r="I26">
            <v>0</v>
          </cell>
        </row>
        <row r="27">
          <cell r="C27">
            <v>0</v>
          </cell>
          <cell r="E27">
            <v>0</v>
          </cell>
          <cell r="G27">
            <v>0</v>
          </cell>
          <cell r="I27">
            <v>0</v>
          </cell>
        </row>
        <row r="28">
          <cell r="C28">
            <v>0</v>
          </cell>
          <cell r="D28">
            <v>0</v>
          </cell>
          <cell r="E28">
            <v>0</v>
          </cell>
          <cell r="F28">
            <v>0</v>
          </cell>
          <cell r="G28">
            <v>0</v>
          </cell>
          <cell r="H28">
            <v>0</v>
          </cell>
        </row>
        <row r="29">
          <cell r="C29">
            <v>0</v>
          </cell>
          <cell r="D29">
            <v>0</v>
          </cell>
          <cell r="E29">
            <v>0</v>
          </cell>
          <cell r="F29">
            <v>0</v>
          </cell>
          <cell r="G29">
            <v>0</v>
          </cell>
          <cell r="H29">
            <v>0</v>
          </cell>
        </row>
        <row r="30">
          <cell r="C30">
            <v>0</v>
          </cell>
          <cell r="E30">
            <v>0</v>
          </cell>
          <cell r="G30">
            <v>0</v>
          </cell>
        </row>
        <row r="31">
          <cell r="D31">
            <v>0</v>
          </cell>
          <cell r="F31">
            <v>0</v>
          </cell>
          <cell r="H31">
            <v>0</v>
          </cell>
          <cell r="J31">
            <v>0</v>
          </cell>
        </row>
        <row r="33">
          <cell r="C33">
            <v>0</v>
          </cell>
          <cell r="E33">
            <v>0</v>
          </cell>
          <cell r="G33">
            <v>0</v>
          </cell>
          <cell r="I33">
            <v>0</v>
          </cell>
        </row>
        <row r="39">
          <cell r="C39">
            <v>0</v>
          </cell>
          <cell r="E39">
            <v>0</v>
          </cell>
          <cell r="G39">
            <v>0</v>
          </cell>
          <cell r="I39">
            <v>0</v>
          </cell>
        </row>
        <row r="40">
          <cell r="C40">
            <v>0</v>
          </cell>
          <cell r="E40">
            <v>0</v>
          </cell>
          <cell r="G40">
            <v>0</v>
          </cell>
          <cell r="I40">
            <v>0</v>
          </cell>
        </row>
        <row r="41">
          <cell r="C41">
            <v>0</v>
          </cell>
          <cell r="E41">
            <v>0</v>
          </cell>
          <cell r="G41">
            <v>0</v>
          </cell>
          <cell r="I41">
            <v>0</v>
          </cell>
        </row>
        <row r="42">
          <cell r="G42">
            <v>0</v>
          </cell>
          <cell r="H42">
            <v>0</v>
          </cell>
          <cell r="I42">
            <v>0</v>
          </cell>
          <cell r="J42">
            <v>0</v>
          </cell>
        </row>
        <row r="43">
          <cell r="G43">
            <v>0</v>
          </cell>
          <cell r="H43">
            <v>0</v>
          </cell>
          <cell r="I43">
            <v>0</v>
          </cell>
          <cell r="J43">
            <v>0</v>
          </cell>
        </row>
        <row r="44">
          <cell r="G44">
            <v>0</v>
          </cell>
          <cell r="I44">
            <v>0</v>
          </cell>
        </row>
        <row r="45">
          <cell r="D45">
            <v>0</v>
          </cell>
          <cell r="F45">
            <v>0</v>
          </cell>
          <cell r="H45">
            <v>0</v>
          </cell>
          <cell r="J45">
            <v>0</v>
          </cell>
        </row>
        <row r="47">
          <cell r="C47">
            <v>0</v>
          </cell>
          <cell r="E47">
            <v>0</v>
          </cell>
          <cell r="G47">
            <v>0</v>
          </cell>
          <cell r="I47">
            <v>0</v>
          </cell>
        </row>
        <row r="53">
          <cell r="C53">
            <v>0</v>
          </cell>
          <cell r="E53">
            <v>0</v>
          </cell>
          <cell r="G53">
            <v>0</v>
          </cell>
          <cell r="I53">
            <v>0</v>
          </cell>
        </row>
        <row r="54">
          <cell r="C54">
            <v>0</v>
          </cell>
          <cell r="E54">
            <v>0</v>
          </cell>
          <cell r="G54">
            <v>0</v>
          </cell>
          <cell r="I54">
            <v>0</v>
          </cell>
        </row>
        <row r="55">
          <cell r="C55">
            <v>0</v>
          </cell>
          <cell r="E55">
            <v>0</v>
          </cell>
          <cell r="G55">
            <v>0</v>
          </cell>
          <cell r="I55">
            <v>0</v>
          </cell>
        </row>
        <row r="56">
          <cell r="E56">
            <v>0</v>
          </cell>
          <cell r="F56">
            <v>0</v>
          </cell>
          <cell r="G56">
            <v>0</v>
          </cell>
          <cell r="H56">
            <v>0</v>
          </cell>
          <cell r="I56">
            <v>0</v>
          </cell>
          <cell r="J56">
            <v>0</v>
          </cell>
        </row>
        <row r="57">
          <cell r="E57">
            <v>0</v>
          </cell>
          <cell r="F57">
            <v>0</v>
          </cell>
          <cell r="G57">
            <v>0</v>
          </cell>
          <cell r="H57">
            <v>0</v>
          </cell>
          <cell r="I57">
            <v>0</v>
          </cell>
          <cell r="J57">
            <v>0</v>
          </cell>
        </row>
        <row r="58">
          <cell r="E58">
            <v>0</v>
          </cell>
          <cell r="G58">
            <v>0</v>
          </cell>
          <cell r="I58">
            <v>0</v>
          </cell>
        </row>
        <row r="59">
          <cell r="D59">
            <v>0</v>
          </cell>
          <cell r="F59">
            <v>0</v>
          </cell>
          <cell r="H59">
            <v>0</v>
          </cell>
          <cell r="J59">
            <v>0</v>
          </cell>
        </row>
        <row r="61">
          <cell r="C61">
            <v>0</v>
          </cell>
          <cell r="E61">
            <v>0</v>
          </cell>
          <cell r="G61">
            <v>0</v>
          </cell>
          <cell r="I61">
            <v>0</v>
          </cell>
        </row>
        <row r="67">
          <cell r="C67">
            <v>0</v>
          </cell>
          <cell r="E67">
            <v>0</v>
          </cell>
          <cell r="G67">
            <v>0</v>
          </cell>
          <cell r="I67">
            <v>0</v>
          </cell>
        </row>
        <row r="68">
          <cell r="C68">
            <v>0</v>
          </cell>
          <cell r="E68">
            <v>0</v>
          </cell>
          <cell r="G68">
            <v>0</v>
          </cell>
          <cell r="I68">
            <v>0</v>
          </cell>
        </row>
        <row r="69">
          <cell r="C69">
            <v>0</v>
          </cell>
          <cell r="E69">
            <v>0</v>
          </cell>
          <cell r="G69">
            <v>0</v>
          </cell>
          <cell r="I69">
            <v>0</v>
          </cell>
        </row>
        <row r="70">
          <cell r="C70">
            <v>0</v>
          </cell>
          <cell r="D70">
            <v>0</v>
          </cell>
          <cell r="E70">
            <v>0</v>
          </cell>
          <cell r="F70">
            <v>0</v>
          </cell>
          <cell r="G70">
            <v>0</v>
          </cell>
          <cell r="H70">
            <v>0</v>
          </cell>
          <cell r="I70">
            <v>0</v>
          </cell>
          <cell r="J70">
            <v>0</v>
          </cell>
        </row>
        <row r="71">
          <cell r="C71">
            <v>0</v>
          </cell>
          <cell r="D71">
            <v>0</v>
          </cell>
          <cell r="E71">
            <v>0</v>
          </cell>
          <cell r="F71">
            <v>0</v>
          </cell>
          <cell r="G71">
            <v>0</v>
          </cell>
          <cell r="H71">
            <v>0</v>
          </cell>
          <cell r="I71">
            <v>0</v>
          </cell>
          <cell r="J71">
            <v>0</v>
          </cell>
        </row>
        <row r="72">
          <cell r="C72">
            <v>0</v>
          </cell>
          <cell r="E72">
            <v>0</v>
          </cell>
          <cell r="G72">
            <v>0</v>
          </cell>
          <cell r="I72">
            <v>0</v>
          </cell>
        </row>
        <row r="73">
          <cell r="D73">
            <v>0</v>
          </cell>
          <cell r="F73">
            <v>0</v>
          </cell>
          <cell r="H73">
            <v>0</v>
          </cell>
          <cell r="J73">
            <v>0</v>
          </cell>
        </row>
        <row r="75">
          <cell r="C75">
            <v>0</v>
          </cell>
          <cell r="E75">
            <v>0</v>
          </cell>
          <cell r="G75">
            <v>0</v>
          </cell>
          <cell r="I75">
            <v>0</v>
          </cell>
        </row>
      </sheetData>
      <sheetData sheetId="14" refreshError="1">
        <row r="53">
          <cell r="AF53" t="str">
            <v/>
          </cell>
          <cell r="AG53" t="str">
            <v/>
          </cell>
          <cell r="AH53">
            <v>0</v>
          </cell>
          <cell r="AI53">
            <v>0</v>
          </cell>
          <cell r="AJ53" t="e">
            <v>#N/A</v>
          </cell>
          <cell r="AK53" t="e">
            <v>#N/A</v>
          </cell>
          <cell r="AL53" t="e">
            <v>#N/A</v>
          </cell>
          <cell r="AM53" t="str">
            <v/>
          </cell>
          <cell r="AN53">
            <v>0</v>
          </cell>
          <cell r="AO53" t="str">
            <v/>
          </cell>
          <cell r="AP53">
            <v>0</v>
          </cell>
          <cell r="AQ53" t="str">
            <v/>
          </cell>
          <cell r="AR53">
            <v>0</v>
          </cell>
          <cell r="AS53" t="str">
            <v/>
          </cell>
          <cell r="AT53" t="str">
            <v/>
          </cell>
          <cell r="AU53">
            <v>0</v>
          </cell>
          <cell r="AV53" t="e">
            <v>#N/A</v>
          </cell>
          <cell r="AW53" t="e">
            <v>#N/A</v>
          </cell>
          <cell r="AX53" t="e">
            <v>#N/A</v>
          </cell>
          <cell r="AY53" t="str">
            <v/>
          </cell>
          <cell r="AZ53">
            <v>0</v>
          </cell>
          <cell r="BA53" t="str">
            <v/>
          </cell>
          <cell r="BB53">
            <v>0</v>
          </cell>
          <cell r="BC53" t="str">
            <v/>
          </cell>
        </row>
        <row r="54">
          <cell r="AF54" t="str">
            <v/>
          </cell>
          <cell r="AG54" t="str">
            <v/>
          </cell>
          <cell r="AH54">
            <v>0</v>
          </cell>
          <cell r="AI54">
            <v>0</v>
          </cell>
          <cell r="AJ54" t="e">
            <v>#N/A</v>
          </cell>
          <cell r="AK54" t="e">
            <v>#N/A</v>
          </cell>
          <cell r="AL54" t="e">
            <v>#N/A</v>
          </cell>
          <cell r="AM54" t="str">
            <v/>
          </cell>
          <cell r="AN54">
            <v>0</v>
          </cell>
          <cell r="AO54" t="str">
            <v/>
          </cell>
          <cell r="AP54">
            <v>0</v>
          </cell>
          <cell r="AQ54" t="str">
            <v/>
          </cell>
          <cell r="AR54">
            <v>0</v>
          </cell>
          <cell r="AS54" t="str">
            <v/>
          </cell>
          <cell r="AT54" t="str">
            <v/>
          </cell>
          <cell r="AU54">
            <v>0</v>
          </cell>
          <cell r="AV54" t="e">
            <v>#N/A</v>
          </cell>
          <cell r="AW54" t="e">
            <v>#N/A</v>
          </cell>
          <cell r="AX54" t="e">
            <v>#N/A</v>
          </cell>
          <cell r="AY54" t="str">
            <v/>
          </cell>
          <cell r="AZ54">
            <v>0</v>
          </cell>
          <cell r="BA54" t="str">
            <v/>
          </cell>
          <cell r="BB54">
            <v>0</v>
          </cell>
          <cell r="BC54" t="str">
            <v/>
          </cell>
        </row>
        <row r="55">
          <cell r="AF55" t="str">
            <v/>
          </cell>
          <cell r="AG55" t="str">
            <v/>
          </cell>
          <cell r="AH55">
            <v>0</v>
          </cell>
          <cell r="AI55">
            <v>0</v>
          </cell>
          <cell r="AJ55" t="e">
            <v>#N/A</v>
          </cell>
          <cell r="AK55" t="e">
            <v>#N/A</v>
          </cell>
          <cell r="AL55" t="e">
            <v>#N/A</v>
          </cell>
          <cell r="AM55" t="str">
            <v/>
          </cell>
          <cell r="AN55">
            <v>0</v>
          </cell>
          <cell r="AO55" t="str">
            <v/>
          </cell>
          <cell r="AP55">
            <v>0</v>
          </cell>
          <cell r="AQ55" t="str">
            <v/>
          </cell>
          <cell r="AR55">
            <v>0</v>
          </cell>
          <cell r="AS55" t="str">
            <v/>
          </cell>
          <cell r="AT55" t="str">
            <v/>
          </cell>
          <cell r="AU55">
            <v>0</v>
          </cell>
          <cell r="AV55" t="e">
            <v>#N/A</v>
          </cell>
          <cell r="AW55" t="e">
            <v>#N/A</v>
          </cell>
          <cell r="AX55" t="e">
            <v>#N/A</v>
          </cell>
          <cell r="AY55" t="str">
            <v/>
          </cell>
          <cell r="AZ55">
            <v>0</v>
          </cell>
          <cell r="BA55" t="str">
            <v/>
          </cell>
          <cell r="BB55">
            <v>0</v>
          </cell>
          <cell r="BC55" t="str">
            <v/>
          </cell>
        </row>
        <row r="56">
          <cell r="AF56" t="str">
            <v/>
          </cell>
          <cell r="AG56" t="str">
            <v/>
          </cell>
          <cell r="AH56">
            <v>0</v>
          </cell>
          <cell r="AI56">
            <v>0</v>
          </cell>
          <cell r="AJ56" t="e">
            <v>#N/A</v>
          </cell>
          <cell r="AK56" t="e">
            <v>#N/A</v>
          </cell>
          <cell r="AL56" t="e">
            <v>#N/A</v>
          </cell>
          <cell r="AM56" t="str">
            <v/>
          </cell>
          <cell r="AN56">
            <v>0</v>
          </cell>
          <cell r="AO56" t="str">
            <v/>
          </cell>
          <cell r="AP56">
            <v>0</v>
          </cell>
          <cell r="AQ56" t="str">
            <v/>
          </cell>
          <cell r="AR56">
            <v>0</v>
          </cell>
          <cell r="AS56" t="str">
            <v/>
          </cell>
          <cell r="AT56" t="str">
            <v/>
          </cell>
          <cell r="AU56">
            <v>0</v>
          </cell>
          <cell r="AV56" t="e">
            <v>#N/A</v>
          </cell>
          <cell r="AW56" t="e">
            <v>#N/A</v>
          </cell>
          <cell r="AX56" t="e">
            <v>#N/A</v>
          </cell>
          <cell r="AY56" t="str">
            <v/>
          </cell>
          <cell r="AZ56">
            <v>0</v>
          </cell>
          <cell r="BA56" t="str">
            <v/>
          </cell>
          <cell r="BB56">
            <v>0</v>
          </cell>
          <cell r="BC56" t="str">
            <v/>
          </cell>
        </row>
        <row r="57">
          <cell r="AF57" t="str">
            <v/>
          </cell>
          <cell r="AG57" t="str">
            <v/>
          </cell>
          <cell r="AH57">
            <v>0</v>
          </cell>
          <cell r="AI57">
            <v>0</v>
          </cell>
          <cell r="AJ57" t="e">
            <v>#N/A</v>
          </cell>
          <cell r="AK57" t="e">
            <v>#N/A</v>
          </cell>
          <cell r="AL57" t="e">
            <v>#N/A</v>
          </cell>
          <cell r="AM57" t="str">
            <v/>
          </cell>
          <cell r="AN57">
            <v>0</v>
          </cell>
          <cell r="AO57" t="str">
            <v/>
          </cell>
          <cell r="AP57">
            <v>0</v>
          </cell>
          <cell r="AQ57" t="str">
            <v/>
          </cell>
          <cell r="AR57">
            <v>0</v>
          </cell>
          <cell r="AS57" t="str">
            <v/>
          </cell>
          <cell r="AT57" t="str">
            <v/>
          </cell>
          <cell r="AU57">
            <v>0</v>
          </cell>
          <cell r="AV57" t="e">
            <v>#N/A</v>
          </cell>
          <cell r="AW57" t="e">
            <v>#N/A</v>
          </cell>
          <cell r="AX57" t="e">
            <v>#N/A</v>
          </cell>
          <cell r="AY57" t="str">
            <v/>
          </cell>
          <cell r="AZ57">
            <v>0</v>
          </cell>
          <cell r="BA57" t="str">
            <v/>
          </cell>
          <cell r="BB57">
            <v>0</v>
          </cell>
          <cell r="BC57" t="str">
            <v/>
          </cell>
        </row>
        <row r="58">
          <cell r="AF58" t="str">
            <v/>
          </cell>
          <cell r="AG58" t="str">
            <v/>
          </cell>
          <cell r="AH58">
            <v>0</v>
          </cell>
          <cell r="AI58">
            <v>0</v>
          </cell>
          <cell r="AJ58" t="e">
            <v>#N/A</v>
          </cell>
          <cell r="AK58" t="e">
            <v>#N/A</v>
          </cell>
          <cell r="AL58" t="e">
            <v>#N/A</v>
          </cell>
          <cell r="AM58" t="str">
            <v/>
          </cell>
          <cell r="AN58">
            <v>0</v>
          </cell>
          <cell r="AO58" t="str">
            <v/>
          </cell>
          <cell r="AP58">
            <v>0</v>
          </cell>
          <cell r="AQ58" t="str">
            <v/>
          </cell>
          <cell r="AR58">
            <v>0</v>
          </cell>
          <cell r="AS58" t="str">
            <v/>
          </cell>
          <cell r="AT58" t="str">
            <v/>
          </cell>
          <cell r="AU58">
            <v>0</v>
          </cell>
          <cell r="AV58" t="e">
            <v>#N/A</v>
          </cell>
          <cell r="AW58" t="e">
            <v>#N/A</v>
          </cell>
          <cell r="AX58" t="e">
            <v>#N/A</v>
          </cell>
          <cell r="AY58" t="str">
            <v/>
          </cell>
          <cell r="AZ58">
            <v>0</v>
          </cell>
          <cell r="BA58" t="str">
            <v/>
          </cell>
          <cell r="BB58">
            <v>0</v>
          </cell>
          <cell r="BC58" t="str">
            <v/>
          </cell>
        </row>
        <row r="59">
          <cell r="AF59" t="str">
            <v/>
          </cell>
          <cell r="AG59" t="str">
            <v/>
          </cell>
          <cell r="AH59">
            <v>0</v>
          </cell>
          <cell r="AI59">
            <v>0</v>
          </cell>
          <cell r="AJ59" t="e">
            <v>#N/A</v>
          </cell>
          <cell r="AK59" t="e">
            <v>#N/A</v>
          </cell>
          <cell r="AL59" t="e">
            <v>#N/A</v>
          </cell>
          <cell r="AM59" t="str">
            <v/>
          </cell>
          <cell r="AN59">
            <v>0</v>
          </cell>
          <cell r="AO59" t="str">
            <v/>
          </cell>
          <cell r="AP59">
            <v>0</v>
          </cell>
          <cell r="AQ59" t="str">
            <v/>
          </cell>
          <cell r="AR59">
            <v>0</v>
          </cell>
          <cell r="AS59" t="str">
            <v/>
          </cell>
          <cell r="AT59" t="str">
            <v/>
          </cell>
          <cell r="AU59">
            <v>0</v>
          </cell>
          <cell r="AV59" t="e">
            <v>#N/A</v>
          </cell>
          <cell r="AW59" t="e">
            <v>#N/A</v>
          </cell>
          <cell r="AX59" t="e">
            <v>#N/A</v>
          </cell>
          <cell r="AY59" t="str">
            <v/>
          </cell>
          <cell r="AZ59">
            <v>0</v>
          </cell>
          <cell r="BA59" t="str">
            <v/>
          </cell>
          <cell r="BB59">
            <v>0</v>
          </cell>
          <cell r="BC59" t="str">
            <v/>
          </cell>
        </row>
        <row r="60">
          <cell r="AF60" t="str">
            <v/>
          </cell>
          <cell r="AG60" t="str">
            <v/>
          </cell>
          <cell r="AH60">
            <v>0</v>
          </cell>
          <cell r="AI60">
            <v>0</v>
          </cell>
          <cell r="AJ60" t="e">
            <v>#N/A</v>
          </cell>
          <cell r="AK60" t="e">
            <v>#N/A</v>
          </cell>
          <cell r="AL60" t="e">
            <v>#N/A</v>
          </cell>
          <cell r="AM60" t="str">
            <v/>
          </cell>
          <cell r="AN60">
            <v>0</v>
          </cell>
          <cell r="AO60" t="str">
            <v/>
          </cell>
          <cell r="AP60">
            <v>0</v>
          </cell>
          <cell r="AQ60" t="str">
            <v/>
          </cell>
          <cell r="AR60">
            <v>0</v>
          </cell>
          <cell r="AS60" t="str">
            <v/>
          </cell>
          <cell r="AT60" t="str">
            <v/>
          </cell>
          <cell r="AU60">
            <v>0</v>
          </cell>
          <cell r="AV60" t="e">
            <v>#N/A</v>
          </cell>
          <cell r="AW60" t="e">
            <v>#N/A</v>
          </cell>
          <cell r="AX60" t="e">
            <v>#N/A</v>
          </cell>
          <cell r="AY60" t="str">
            <v/>
          </cell>
          <cell r="AZ60">
            <v>0</v>
          </cell>
          <cell r="BA60" t="str">
            <v/>
          </cell>
          <cell r="BB60">
            <v>0</v>
          </cell>
          <cell r="BC60" t="str">
            <v/>
          </cell>
        </row>
        <row r="61">
          <cell r="AF61" t="str">
            <v/>
          </cell>
          <cell r="AG61" t="str">
            <v/>
          </cell>
          <cell r="AH61">
            <v>0</v>
          </cell>
          <cell r="AI61">
            <v>0</v>
          </cell>
          <cell r="AJ61" t="e">
            <v>#N/A</v>
          </cell>
          <cell r="AK61" t="e">
            <v>#N/A</v>
          </cell>
          <cell r="AL61" t="e">
            <v>#N/A</v>
          </cell>
          <cell r="AM61" t="str">
            <v/>
          </cell>
          <cell r="AN61">
            <v>0</v>
          </cell>
          <cell r="AO61" t="str">
            <v/>
          </cell>
          <cell r="AP61">
            <v>0</v>
          </cell>
          <cell r="AQ61" t="str">
            <v/>
          </cell>
          <cell r="AR61">
            <v>0</v>
          </cell>
          <cell r="AS61" t="str">
            <v/>
          </cell>
          <cell r="AT61" t="str">
            <v/>
          </cell>
          <cell r="AU61">
            <v>0</v>
          </cell>
          <cell r="AV61" t="e">
            <v>#N/A</v>
          </cell>
          <cell r="AW61" t="e">
            <v>#N/A</v>
          </cell>
          <cell r="AX61" t="e">
            <v>#N/A</v>
          </cell>
          <cell r="AY61" t="str">
            <v/>
          </cell>
          <cell r="AZ61">
            <v>0</v>
          </cell>
          <cell r="BA61" t="str">
            <v/>
          </cell>
          <cell r="BB61">
            <v>0</v>
          </cell>
          <cell r="BC61" t="str">
            <v/>
          </cell>
        </row>
        <row r="62">
          <cell r="AF62" t="str">
            <v/>
          </cell>
          <cell r="AG62" t="str">
            <v/>
          </cell>
          <cell r="AH62">
            <v>0</v>
          </cell>
          <cell r="AI62">
            <v>0</v>
          </cell>
          <cell r="AJ62" t="e">
            <v>#N/A</v>
          </cell>
          <cell r="AK62" t="e">
            <v>#N/A</v>
          </cell>
          <cell r="AL62" t="e">
            <v>#N/A</v>
          </cell>
          <cell r="AM62" t="str">
            <v/>
          </cell>
          <cell r="AN62">
            <v>0</v>
          </cell>
          <cell r="AO62" t="str">
            <v/>
          </cell>
          <cell r="AP62">
            <v>0</v>
          </cell>
          <cell r="AQ62" t="str">
            <v/>
          </cell>
          <cell r="AR62">
            <v>0</v>
          </cell>
          <cell r="AS62" t="str">
            <v/>
          </cell>
          <cell r="AT62" t="str">
            <v/>
          </cell>
          <cell r="AU62">
            <v>0</v>
          </cell>
          <cell r="AV62" t="e">
            <v>#N/A</v>
          </cell>
          <cell r="AW62" t="e">
            <v>#N/A</v>
          </cell>
          <cell r="AX62" t="e">
            <v>#N/A</v>
          </cell>
          <cell r="AY62" t="str">
            <v/>
          </cell>
          <cell r="AZ62">
            <v>0</v>
          </cell>
          <cell r="BA62" t="str">
            <v/>
          </cell>
          <cell r="BB62">
            <v>0</v>
          </cell>
          <cell r="BC62" t="str">
            <v/>
          </cell>
        </row>
        <row r="63">
          <cell r="AF63" t="str">
            <v/>
          </cell>
          <cell r="AG63" t="str">
            <v/>
          </cell>
          <cell r="AH63">
            <v>0</v>
          </cell>
          <cell r="AI63">
            <v>0</v>
          </cell>
          <cell r="AJ63" t="e">
            <v>#N/A</v>
          </cell>
          <cell r="AK63" t="e">
            <v>#N/A</v>
          </cell>
          <cell r="AL63" t="e">
            <v>#N/A</v>
          </cell>
          <cell r="AM63" t="str">
            <v/>
          </cell>
          <cell r="AN63">
            <v>0</v>
          </cell>
          <cell r="AO63" t="str">
            <v/>
          </cell>
          <cell r="AP63">
            <v>0</v>
          </cell>
          <cell r="AQ63" t="str">
            <v/>
          </cell>
          <cell r="AR63">
            <v>0</v>
          </cell>
          <cell r="AS63" t="str">
            <v/>
          </cell>
          <cell r="AT63" t="str">
            <v/>
          </cell>
          <cell r="AU63">
            <v>0</v>
          </cell>
          <cell r="AV63" t="e">
            <v>#N/A</v>
          </cell>
          <cell r="AW63" t="e">
            <v>#N/A</v>
          </cell>
          <cell r="AX63" t="e">
            <v>#N/A</v>
          </cell>
          <cell r="AY63" t="str">
            <v/>
          </cell>
          <cell r="AZ63">
            <v>0</v>
          </cell>
          <cell r="BA63" t="str">
            <v/>
          </cell>
          <cell r="BB63">
            <v>0</v>
          </cell>
          <cell r="BC63" t="str">
            <v/>
          </cell>
        </row>
        <row r="64">
          <cell r="AF64" t="str">
            <v/>
          </cell>
          <cell r="AG64" t="str">
            <v/>
          </cell>
          <cell r="AH64">
            <v>0</v>
          </cell>
          <cell r="AI64">
            <v>0</v>
          </cell>
          <cell r="AJ64" t="e">
            <v>#N/A</v>
          </cell>
          <cell r="AK64" t="e">
            <v>#N/A</v>
          </cell>
          <cell r="AL64" t="e">
            <v>#N/A</v>
          </cell>
          <cell r="AM64" t="str">
            <v/>
          </cell>
          <cell r="AN64">
            <v>0</v>
          </cell>
          <cell r="AO64" t="str">
            <v/>
          </cell>
          <cell r="AP64">
            <v>0</v>
          </cell>
          <cell r="AQ64" t="str">
            <v/>
          </cell>
          <cell r="AR64">
            <v>0</v>
          </cell>
          <cell r="AS64" t="str">
            <v/>
          </cell>
          <cell r="AT64" t="str">
            <v/>
          </cell>
          <cell r="AU64">
            <v>0</v>
          </cell>
          <cell r="AV64" t="e">
            <v>#N/A</v>
          </cell>
          <cell r="AW64" t="e">
            <v>#N/A</v>
          </cell>
          <cell r="AX64" t="e">
            <v>#N/A</v>
          </cell>
          <cell r="AY64" t="str">
            <v/>
          </cell>
          <cell r="AZ64">
            <v>0</v>
          </cell>
          <cell r="BA64" t="str">
            <v/>
          </cell>
          <cell r="BB64">
            <v>0</v>
          </cell>
          <cell r="BC64" t="str">
            <v/>
          </cell>
        </row>
        <row r="65">
          <cell r="AF65" t="str">
            <v/>
          </cell>
          <cell r="AG65" t="str">
            <v/>
          </cell>
          <cell r="AH65">
            <v>0</v>
          </cell>
          <cell r="AI65">
            <v>0</v>
          </cell>
          <cell r="AJ65" t="e">
            <v>#N/A</v>
          </cell>
          <cell r="AK65" t="e">
            <v>#N/A</v>
          </cell>
          <cell r="AL65" t="e">
            <v>#N/A</v>
          </cell>
          <cell r="AM65" t="str">
            <v/>
          </cell>
          <cell r="AN65">
            <v>0</v>
          </cell>
          <cell r="AO65" t="str">
            <v/>
          </cell>
          <cell r="AP65">
            <v>0</v>
          </cell>
          <cell r="AQ65" t="str">
            <v/>
          </cell>
          <cell r="AR65">
            <v>0</v>
          </cell>
          <cell r="AS65" t="str">
            <v/>
          </cell>
          <cell r="AT65" t="str">
            <v/>
          </cell>
          <cell r="AU65">
            <v>0</v>
          </cell>
          <cell r="AV65" t="e">
            <v>#N/A</v>
          </cell>
          <cell r="AW65" t="e">
            <v>#N/A</v>
          </cell>
          <cell r="AX65" t="e">
            <v>#N/A</v>
          </cell>
          <cell r="AY65" t="str">
            <v/>
          </cell>
          <cell r="AZ65">
            <v>0</v>
          </cell>
          <cell r="BA65" t="str">
            <v/>
          </cell>
          <cell r="BB65">
            <v>0</v>
          </cell>
          <cell r="BC65" t="str">
            <v/>
          </cell>
        </row>
        <row r="66">
          <cell r="AF66" t="str">
            <v/>
          </cell>
          <cell r="AG66" t="str">
            <v/>
          </cell>
          <cell r="AH66">
            <v>0</v>
          </cell>
          <cell r="AI66">
            <v>0</v>
          </cell>
          <cell r="AJ66" t="e">
            <v>#N/A</v>
          </cell>
          <cell r="AK66" t="e">
            <v>#N/A</v>
          </cell>
          <cell r="AL66" t="e">
            <v>#N/A</v>
          </cell>
          <cell r="AM66" t="str">
            <v/>
          </cell>
          <cell r="AN66">
            <v>0</v>
          </cell>
          <cell r="AO66" t="str">
            <v/>
          </cell>
          <cell r="AP66">
            <v>0</v>
          </cell>
          <cell r="AQ66" t="str">
            <v/>
          </cell>
          <cell r="AR66">
            <v>0</v>
          </cell>
          <cell r="AS66" t="str">
            <v/>
          </cell>
          <cell r="AT66" t="str">
            <v/>
          </cell>
          <cell r="AU66">
            <v>0</v>
          </cell>
          <cell r="AV66" t="e">
            <v>#N/A</v>
          </cell>
          <cell r="AW66" t="e">
            <v>#N/A</v>
          </cell>
          <cell r="AX66" t="e">
            <v>#N/A</v>
          </cell>
          <cell r="AY66" t="str">
            <v/>
          </cell>
          <cell r="AZ66">
            <v>0</v>
          </cell>
          <cell r="BA66" t="str">
            <v/>
          </cell>
          <cell r="BB66">
            <v>0</v>
          </cell>
          <cell r="BC66" t="str">
            <v/>
          </cell>
        </row>
        <row r="67">
          <cell r="AF67" t="str">
            <v/>
          </cell>
          <cell r="AG67" t="str">
            <v/>
          </cell>
          <cell r="AH67">
            <v>0</v>
          </cell>
          <cell r="AI67">
            <v>0</v>
          </cell>
          <cell r="AJ67" t="e">
            <v>#N/A</v>
          </cell>
          <cell r="AK67" t="e">
            <v>#N/A</v>
          </cell>
          <cell r="AL67" t="e">
            <v>#N/A</v>
          </cell>
          <cell r="AM67" t="str">
            <v/>
          </cell>
          <cell r="AN67">
            <v>0</v>
          </cell>
          <cell r="AO67" t="str">
            <v/>
          </cell>
          <cell r="AP67">
            <v>0</v>
          </cell>
          <cell r="AQ67" t="str">
            <v/>
          </cell>
          <cell r="AR67">
            <v>0</v>
          </cell>
          <cell r="AS67" t="str">
            <v/>
          </cell>
          <cell r="AT67" t="str">
            <v/>
          </cell>
          <cell r="AU67">
            <v>0</v>
          </cell>
          <cell r="AV67" t="e">
            <v>#N/A</v>
          </cell>
          <cell r="AW67" t="e">
            <v>#N/A</v>
          </cell>
          <cell r="AX67" t="e">
            <v>#N/A</v>
          </cell>
          <cell r="AY67" t="str">
            <v/>
          </cell>
          <cell r="AZ67">
            <v>0</v>
          </cell>
          <cell r="BA67" t="str">
            <v/>
          </cell>
          <cell r="BB67">
            <v>0</v>
          </cell>
          <cell r="BC67" t="str">
            <v/>
          </cell>
        </row>
        <row r="68">
          <cell r="AF68" t="str">
            <v/>
          </cell>
          <cell r="AG68" t="str">
            <v/>
          </cell>
          <cell r="AH68">
            <v>0</v>
          </cell>
          <cell r="AI68">
            <v>0</v>
          </cell>
          <cell r="AJ68" t="e">
            <v>#N/A</v>
          </cell>
          <cell r="AK68" t="e">
            <v>#N/A</v>
          </cell>
          <cell r="AL68" t="e">
            <v>#N/A</v>
          </cell>
          <cell r="AM68" t="str">
            <v/>
          </cell>
          <cell r="AN68">
            <v>0</v>
          </cell>
          <cell r="AO68" t="str">
            <v/>
          </cell>
          <cell r="AP68">
            <v>0</v>
          </cell>
          <cell r="AQ68" t="str">
            <v/>
          </cell>
          <cell r="AR68">
            <v>0</v>
          </cell>
          <cell r="AS68" t="str">
            <v/>
          </cell>
          <cell r="AT68" t="str">
            <v/>
          </cell>
          <cell r="AU68">
            <v>0</v>
          </cell>
          <cell r="AV68" t="e">
            <v>#N/A</v>
          </cell>
          <cell r="AW68" t="e">
            <v>#N/A</v>
          </cell>
          <cell r="AX68" t="e">
            <v>#N/A</v>
          </cell>
          <cell r="AY68" t="str">
            <v/>
          </cell>
          <cell r="AZ68">
            <v>0</v>
          </cell>
          <cell r="BA68" t="str">
            <v/>
          </cell>
          <cell r="BB68">
            <v>0</v>
          </cell>
          <cell r="BC68" t="str">
            <v/>
          </cell>
        </row>
        <row r="69">
          <cell r="AF69" t="str">
            <v/>
          </cell>
          <cell r="AG69" t="str">
            <v/>
          </cell>
          <cell r="AH69">
            <v>0</v>
          </cell>
          <cell r="AI69">
            <v>0</v>
          </cell>
          <cell r="AJ69" t="e">
            <v>#N/A</v>
          </cell>
          <cell r="AK69" t="e">
            <v>#N/A</v>
          </cell>
          <cell r="AL69" t="e">
            <v>#N/A</v>
          </cell>
          <cell r="AM69" t="str">
            <v/>
          </cell>
          <cell r="AN69">
            <v>0</v>
          </cell>
          <cell r="AO69" t="str">
            <v/>
          </cell>
          <cell r="AP69">
            <v>0</v>
          </cell>
          <cell r="AQ69" t="str">
            <v/>
          </cell>
          <cell r="AR69">
            <v>0</v>
          </cell>
          <cell r="AS69" t="str">
            <v/>
          </cell>
          <cell r="AT69" t="str">
            <v/>
          </cell>
          <cell r="AU69">
            <v>0</v>
          </cell>
          <cell r="AV69" t="e">
            <v>#N/A</v>
          </cell>
          <cell r="AW69" t="e">
            <v>#N/A</v>
          </cell>
          <cell r="AX69" t="e">
            <v>#N/A</v>
          </cell>
          <cell r="AY69" t="str">
            <v/>
          </cell>
          <cell r="AZ69">
            <v>0</v>
          </cell>
          <cell r="BA69" t="str">
            <v/>
          </cell>
          <cell r="BB69">
            <v>0</v>
          </cell>
          <cell r="BC69" t="str">
            <v/>
          </cell>
        </row>
        <row r="70">
          <cell r="AF70" t="str">
            <v/>
          </cell>
          <cell r="AG70" t="str">
            <v/>
          </cell>
          <cell r="AH70">
            <v>0</v>
          </cell>
          <cell r="AI70">
            <v>0</v>
          </cell>
          <cell r="AJ70" t="e">
            <v>#N/A</v>
          </cell>
          <cell r="AK70" t="e">
            <v>#N/A</v>
          </cell>
          <cell r="AL70" t="e">
            <v>#N/A</v>
          </cell>
          <cell r="AM70" t="str">
            <v/>
          </cell>
          <cell r="AN70">
            <v>0</v>
          </cell>
          <cell r="AO70" t="str">
            <v/>
          </cell>
          <cell r="AP70">
            <v>0</v>
          </cell>
          <cell r="AQ70" t="str">
            <v/>
          </cell>
          <cell r="AR70">
            <v>0</v>
          </cell>
          <cell r="AS70" t="str">
            <v/>
          </cell>
          <cell r="AT70" t="str">
            <v/>
          </cell>
          <cell r="AU70">
            <v>0</v>
          </cell>
          <cell r="AV70" t="e">
            <v>#N/A</v>
          </cell>
          <cell r="AW70" t="e">
            <v>#N/A</v>
          </cell>
          <cell r="AX70" t="e">
            <v>#N/A</v>
          </cell>
          <cell r="AY70" t="str">
            <v/>
          </cell>
          <cell r="AZ70">
            <v>0</v>
          </cell>
          <cell r="BA70" t="str">
            <v/>
          </cell>
          <cell r="BB70">
            <v>0</v>
          </cell>
          <cell r="BC70" t="str">
            <v/>
          </cell>
        </row>
        <row r="71">
          <cell r="AF71" t="str">
            <v/>
          </cell>
          <cell r="AG71" t="str">
            <v/>
          </cell>
          <cell r="AH71">
            <v>0</v>
          </cell>
          <cell r="AI71">
            <v>0</v>
          </cell>
          <cell r="AJ71" t="e">
            <v>#N/A</v>
          </cell>
          <cell r="AK71" t="e">
            <v>#N/A</v>
          </cell>
          <cell r="AL71" t="e">
            <v>#N/A</v>
          </cell>
          <cell r="AM71" t="str">
            <v/>
          </cell>
          <cell r="AN71">
            <v>0</v>
          </cell>
          <cell r="AO71" t="str">
            <v/>
          </cell>
          <cell r="AP71">
            <v>0</v>
          </cell>
          <cell r="AQ71" t="str">
            <v/>
          </cell>
          <cell r="AR71">
            <v>0</v>
          </cell>
          <cell r="AS71" t="str">
            <v/>
          </cell>
          <cell r="AT71" t="str">
            <v/>
          </cell>
          <cell r="AU71">
            <v>0</v>
          </cell>
          <cell r="AV71" t="e">
            <v>#N/A</v>
          </cell>
          <cell r="AW71" t="e">
            <v>#N/A</v>
          </cell>
          <cell r="AX71" t="e">
            <v>#N/A</v>
          </cell>
          <cell r="AY71" t="str">
            <v/>
          </cell>
          <cell r="AZ71">
            <v>0</v>
          </cell>
          <cell r="BA71" t="str">
            <v/>
          </cell>
          <cell r="BB71">
            <v>0</v>
          </cell>
          <cell r="BC71" t="str">
            <v/>
          </cell>
        </row>
        <row r="72">
          <cell r="AF72" t="str">
            <v/>
          </cell>
          <cell r="AG72" t="str">
            <v/>
          </cell>
          <cell r="AH72">
            <v>0</v>
          </cell>
          <cell r="AI72">
            <v>0</v>
          </cell>
          <cell r="AJ72" t="e">
            <v>#N/A</v>
          </cell>
          <cell r="AK72" t="e">
            <v>#N/A</v>
          </cell>
          <cell r="AL72" t="e">
            <v>#N/A</v>
          </cell>
          <cell r="AM72" t="str">
            <v/>
          </cell>
          <cell r="AN72">
            <v>0</v>
          </cell>
          <cell r="AO72" t="str">
            <v/>
          </cell>
          <cell r="AP72">
            <v>0</v>
          </cell>
          <cell r="AQ72" t="str">
            <v/>
          </cell>
          <cell r="AR72">
            <v>0</v>
          </cell>
          <cell r="AS72" t="str">
            <v/>
          </cell>
          <cell r="AT72" t="str">
            <v/>
          </cell>
          <cell r="AU72">
            <v>0</v>
          </cell>
          <cell r="AV72" t="e">
            <v>#N/A</v>
          </cell>
          <cell r="AW72" t="e">
            <v>#N/A</v>
          </cell>
          <cell r="AX72" t="e">
            <v>#N/A</v>
          </cell>
          <cell r="AY72" t="str">
            <v/>
          </cell>
          <cell r="AZ72">
            <v>0</v>
          </cell>
          <cell r="BA72" t="str">
            <v/>
          </cell>
          <cell r="BB72">
            <v>0</v>
          </cell>
          <cell r="BC72" t="str">
            <v/>
          </cell>
        </row>
        <row r="73">
          <cell r="AF73" t="str">
            <v/>
          </cell>
          <cell r="AG73" t="str">
            <v/>
          </cell>
          <cell r="AH73">
            <v>0</v>
          </cell>
          <cell r="AI73">
            <v>0</v>
          </cell>
          <cell r="AJ73" t="e">
            <v>#N/A</v>
          </cell>
          <cell r="AK73" t="e">
            <v>#N/A</v>
          </cell>
          <cell r="AL73" t="e">
            <v>#N/A</v>
          </cell>
          <cell r="AM73" t="str">
            <v/>
          </cell>
          <cell r="AN73">
            <v>0</v>
          </cell>
          <cell r="AO73" t="str">
            <v/>
          </cell>
          <cell r="AP73">
            <v>0</v>
          </cell>
          <cell r="AQ73" t="str">
            <v/>
          </cell>
          <cell r="AR73">
            <v>0</v>
          </cell>
          <cell r="AS73" t="str">
            <v/>
          </cell>
          <cell r="AT73" t="str">
            <v/>
          </cell>
          <cell r="AU73">
            <v>0</v>
          </cell>
          <cell r="AV73" t="e">
            <v>#N/A</v>
          </cell>
          <cell r="AW73" t="e">
            <v>#N/A</v>
          </cell>
          <cell r="AX73" t="e">
            <v>#N/A</v>
          </cell>
          <cell r="AY73" t="str">
            <v/>
          </cell>
          <cell r="AZ73">
            <v>0</v>
          </cell>
          <cell r="BA73" t="str">
            <v/>
          </cell>
          <cell r="BB73">
            <v>0</v>
          </cell>
          <cell r="BC73" t="str">
            <v/>
          </cell>
        </row>
        <row r="74">
          <cell r="AF74" t="str">
            <v/>
          </cell>
          <cell r="AG74" t="str">
            <v/>
          </cell>
          <cell r="AH74">
            <v>0</v>
          </cell>
          <cell r="AI74">
            <v>0</v>
          </cell>
          <cell r="AJ74" t="e">
            <v>#N/A</v>
          </cell>
          <cell r="AK74" t="e">
            <v>#N/A</v>
          </cell>
          <cell r="AL74" t="e">
            <v>#N/A</v>
          </cell>
          <cell r="AM74" t="str">
            <v/>
          </cell>
          <cell r="AN74">
            <v>0</v>
          </cell>
          <cell r="AO74" t="str">
            <v/>
          </cell>
          <cell r="AP74">
            <v>0</v>
          </cell>
          <cell r="AQ74" t="str">
            <v/>
          </cell>
          <cell r="AR74">
            <v>0</v>
          </cell>
          <cell r="AS74" t="str">
            <v/>
          </cell>
          <cell r="AT74" t="str">
            <v/>
          </cell>
          <cell r="AU74">
            <v>0</v>
          </cell>
          <cell r="AV74" t="e">
            <v>#N/A</v>
          </cell>
          <cell r="AW74" t="e">
            <v>#N/A</v>
          </cell>
          <cell r="AX74" t="e">
            <v>#N/A</v>
          </cell>
          <cell r="AY74" t="str">
            <v/>
          </cell>
          <cell r="AZ74">
            <v>0</v>
          </cell>
          <cell r="BA74" t="str">
            <v/>
          </cell>
          <cell r="BB74">
            <v>0</v>
          </cell>
          <cell r="BC74" t="str">
            <v/>
          </cell>
        </row>
        <row r="75">
          <cell r="AF75" t="str">
            <v/>
          </cell>
          <cell r="AG75" t="str">
            <v/>
          </cell>
          <cell r="AH75">
            <v>0</v>
          </cell>
          <cell r="AI75">
            <v>0</v>
          </cell>
          <cell r="AJ75" t="e">
            <v>#N/A</v>
          </cell>
          <cell r="AK75" t="e">
            <v>#N/A</v>
          </cell>
          <cell r="AL75" t="e">
            <v>#N/A</v>
          </cell>
          <cell r="AM75" t="str">
            <v/>
          </cell>
          <cell r="AN75">
            <v>0</v>
          </cell>
          <cell r="AO75" t="str">
            <v/>
          </cell>
          <cell r="AP75">
            <v>0</v>
          </cell>
          <cell r="AQ75" t="str">
            <v/>
          </cell>
          <cell r="AR75">
            <v>0</v>
          </cell>
          <cell r="AS75" t="str">
            <v/>
          </cell>
          <cell r="AT75" t="str">
            <v/>
          </cell>
          <cell r="AU75">
            <v>0</v>
          </cell>
          <cell r="AV75" t="e">
            <v>#N/A</v>
          </cell>
          <cell r="AW75" t="e">
            <v>#N/A</v>
          </cell>
          <cell r="AX75" t="e">
            <v>#N/A</v>
          </cell>
          <cell r="AY75" t="str">
            <v/>
          </cell>
          <cell r="AZ75">
            <v>0</v>
          </cell>
          <cell r="BA75" t="str">
            <v/>
          </cell>
          <cell r="BB75">
            <v>0</v>
          </cell>
          <cell r="BC75" t="str">
            <v/>
          </cell>
        </row>
        <row r="76">
          <cell r="AF76" t="str">
            <v/>
          </cell>
          <cell r="AG76" t="str">
            <v/>
          </cell>
          <cell r="AH76">
            <v>0</v>
          </cell>
          <cell r="AI76">
            <v>0</v>
          </cell>
          <cell r="AJ76" t="e">
            <v>#N/A</v>
          </cell>
          <cell r="AK76" t="e">
            <v>#N/A</v>
          </cell>
          <cell r="AL76" t="e">
            <v>#N/A</v>
          </cell>
          <cell r="AM76" t="str">
            <v/>
          </cell>
          <cell r="AN76">
            <v>0</v>
          </cell>
          <cell r="AO76" t="str">
            <v/>
          </cell>
          <cell r="AP76">
            <v>0</v>
          </cell>
          <cell r="AQ76" t="str">
            <v/>
          </cell>
          <cell r="AR76">
            <v>0</v>
          </cell>
          <cell r="AS76" t="str">
            <v/>
          </cell>
          <cell r="AT76" t="str">
            <v/>
          </cell>
          <cell r="AU76">
            <v>0</v>
          </cell>
          <cell r="AV76" t="e">
            <v>#N/A</v>
          </cell>
          <cell r="AW76" t="e">
            <v>#N/A</v>
          </cell>
          <cell r="AX76" t="e">
            <v>#N/A</v>
          </cell>
          <cell r="AY76" t="str">
            <v/>
          </cell>
          <cell r="AZ76">
            <v>0</v>
          </cell>
          <cell r="BA76" t="str">
            <v/>
          </cell>
          <cell r="BB76">
            <v>0</v>
          </cell>
          <cell r="BC76" t="str">
            <v/>
          </cell>
        </row>
        <row r="77">
          <cell r="AF77" t="str">
            <v/>
          </cell>
          <cell r="AG77" t="str">
            <v/>
          </cell>
          <cell r="AH77">
            <v>0</v>
          </cell>
          <cell r="AI77">
            <v>0</v>
          </cell>
          <cell r="AJ77" t="e">
            <v>#N/A</v>
          </cell>
          <cell r="AK77" t="e">
            <v>#N/A</v>
          </cell>
          <cell r="AL77" t="e">
            <v>#N/A</v>
          </cell>
          <cell r="AM77" t="str">
            <v/>
          </cell>
          <cell r="AN77">
            <v>0</v>
          </cell>
          <cell r="AO77" t="str">
            <v/>
          </cell>
          <cell r="AP77">
            <v>0</v>
          </cell>
          <cell r="AQ77" t="str">
            <v/>
          </cell>
          <cell r="AR77">
            <v>0</v>
          </cell>
          <cell r="AS77" t="str">
            <v/>
          </cell>
          <cell r="AT77" t="str">
            <v/>
          </cell>
          <cell r="AU77">
            <v>0</v>
          </cell>
          <cell r="AV77" t="e">
            <v>#N/A</v>
          </cell>
          <cell r="AW77" t="e">
            <v>#N/A</v>
          </cell>
          <cell r="AX77" t="e">
            <v>#N/A</v>
          </cell>
          <cell r="AY77" t="str">
            <v/>
          </cell>
          <cell r="AZ77">
            <v>0</v>
          </cell>
          <cell r="BA77" t="str">
            <v/>
          </cell>
          <cell r="BB77">
            <v>0</v>
          </cell>
          <cell r="BC77" t="str">
            <v/>
          </cell>
        </row>
        <row r="78">
          <cell r="AF78" t="str">
            <v/>
          </cell>
          <cell r="AG78" t="str">
            <v/>
          </cell>
          <cell r="AH78">
            <v>0</v>
          </cell>
          <cell r="AI78">
            <v>0</v>
          </cell>
          <cell r="AJ78" t="e">
            <v>#N/A</v>
          </cell>
          <cell r="AK78" t="e">
            <v>#N/A</v>
          </cell>
          <cell r="AL78" t="e">
            <v>#N/A</v>
          </cell>
          <cell r="AM78" t="str">
            <v/>
          </cell>
          <cell r="AN78">
            <v>0</v>
          </cell>
          <cell r="AO78" t="str">
            <v/>
          </cell>
          <cell r="AP78">
            <v>0</v>
          </cell>
          <cell r="AQ78" t="str">
            <v/>
          </cell>
          <cell r="AR78">
            <v>0</v>
          </cell>
          <cell r="AS78" t="str">
            <v/>
          </cell>
          <cell r="AT78" t="str">
            <v/>
          </cell>
          <cell r="AU78">
            <v>0</v>
          </cell>
          <cell r="AV78" t="e">
            <v>#N/A</v>
          </cell>
          <cell r="AW78" t="e">
            <v>#N/A</v>
          </cell>
          <cell r="AX78" t="e">
            <v>#N/A</v>
          </cell>
          <cell r="AY78" t="str">
            <v/>
          </cell>
          <cell r="AZ78">
            <v>0</v>
          </cell>
          <cell r="BA78" t="str">
            <v/>
          </cell>
          <cell r="BB78">
            <v>0</v>
          </cell>
          <cell r="BC78" t="str">
            <v/>
          </cell>
        </row>
        <row r="79">
          <cell r="AF79" t="str">
            <v/>
          </cell>
          <cell r="AG79" t="str">
            <v/>
          </cell>
          <cell r="AH79">
            <v>0</v>
          </cell>
          <cell r="AI79">
            <v>0</v>
          </cell>
          <cell r="AJ79" t="e">
            <v>#N/A</v>
          </cell>
          <cell r="AK79" t="e">
            <v>#N/A</v>
          </cell>
          <cell r="AL79" t="e">
            <v>#N/A</v>
          </cell>
          <cell r="AM79" t="str">
            <v/>
          </cell>
          <cell r="AN79">
            <v>0</v>
          </cell>
          <cell r="AO79" t="str">
            <v/>
          </cell>
          <cell r="AP79">
            <v>0</v>
          </cell>
          <cell r="AQ79" t="str">
            <v/>
          </cell>
          <cell r="AR79">
            <v>0</v>
          </cell>
          <cell r="AS79" t="str">
            <v/>
          </cell>
          <cell r="AT79" t="str">
            <v/>
          </cell>
          <cell r="AU79">
            <v>0</v>
          </cell>
          <cell r="AV79" t="e">
            <v>#N/A</v>
          </cell>
          <cell r="AW79" t="e">
            <v>#N/A</v>
          </cell>
          <cell r="AX79" t="e">
            <v>#N/A</v>
          </cell>
          <cell r="AY79" t="str">
            <v/>
          </cell>
          <cell r="AZ79">
            <v>0</v>
          </cell>
          <cell r="BA79" t="str">
            <v/>
          </cell>
          <cell r="BB79">
            <v>0</v>
          </cell>
          <cell r="BC79" t="str">
            <v/>
          </cell>
        </row>
        <row r="80">
          <cell r="AF80" t="str">
            <v/>
          </cell>
          <cell r="AG80" t="str">
            <v/>
          </cell>
          <cell r="AH80">
            <v>0</v>
          </cell>
          <cell r="AI80">
            <v>0</v>
          </cell>
          <cell r="AJ80" t="e">
            <v>#N/A</v>
          </cell>
          <cell r="AK80" t="e">
            <v>#N/A</v>
          </cell>
          <cell r="AL80" t="e">
            <v>#N/A</v>
          </cell>
          <cell r="AM80" t="str">
            <v/>
          </cell>
          <cell r="AN80">
            <v>0</v>
          </cell>
          <cell r="AO80" t="str">
            <v/>
          </cell>
          <cell r="AP80">
            <v>0</v>
          </cell>
          <cell r="AQ80" t="str">
            <v/>
          </cell>
          <cell r="AR80">
            <v>0</v>
          </cell>
          <cell r="AS80" t="str">
            <v/>
          </cell>
          <cell r="AT80" t="str">
            <v/>
          </cell>
          <cell r="AU80">
            <v>0</v>
          </cell>
          <cell r="AV80" t="e">
            <v>#N/A</v>
          </cell>
          <cell r="AW80" t="e">
            <v>#N/A</v>
          </cell>
          <cell r="AX80" t="e">
            <v>#N/A</v>
          </cell>
          <cell r="AY80" t="str">
            <v/>
          </cell>
          <cell r="AZ80">
            <v>0</v>
          </cell>
          <cell r="BA80" t="str">
            <v/>
          </cell>
          <cell r="BB80">
            <v>0</v>
          </cell>
          <cell r="BC80" t="str">
            <v/>
          </cell>
        </row>
        <row r="81">
          <cell r="AF81" t="str">
            <v/>
          </cell>
          <cell r="AG81" t="str">
            <v/>
          </cell>
          <cell r="AH81">
            <v>0</v>
          </cell>
          <cell r="AI81">
            <v>0</v>
          </cell>
          <cell r="AJ81" t="e">
            <v>#N/A</v>
          </cell>
          <cell r="AK81" t="e">
            <v>#N/A</v>
          </cell>
          <cell r="AL81" t="e">
            <v>#N/A</v>
          </cell>
          <cell r="AM81" t="str">
            <v/>
          </cell>
          <cell r="AN81">
            <v>0</v>
          </cell>
          <cell r="AO81" t="str">
            <v/>
          </cell>
          <cell r="AP81">
            <v>0</v>
          </cell>
          <cell r="AQ81" t="str">
            <v/>
          </cell>
          <cell r="AR81">
            <v>0</v>
          </cell>
          <cell r="AS81" t="str">
            <v/>
          </cell>
          <cell r="AT81" t="str">
            <v/>
          </cell>
          <cell r="AU81">
            <v>0</v>
          </cell>
          <cell r="AV81" t="e">
            <v>#N/A</v>
          </cell>
          <cell r="AW81" t="e">
            <v>#N/A</v>
          </cell>
          <cell r="AX81" t="e">
            <v>#N/A</v>
          </cell>
          <cell r="AY81" t="str">
            <v/>
          </cell>
          <cell r="AZ81">
            <v>0</v>
          </cell>
          <cell r="BA81" t="str">
            <v/>
          </cell>
          <cell r="BB81">
            <v>0</v>
          </cell>
          <cell r="BC81" t="str">
            <v/>
          </cell>
        </row>
        <row r="82">
          <cell r="AF82" t="str">
            <v/>
          </cell>
          <cell r="AG82" t="str">
            <v/>
          </cell>
          <cell r="AH82">
            <v>0</v>
          </cell>
          <cell r="AI82">
            <v>0</v>
          </cell>
          <cell r="AJ82" t="e">
            <v>#N/A</v>
          </cell>
          <cell r="AK82" t="e">
            <v>#N/A</v>
          </cell>
          <cell r="AL82" t="e">
            <v>#N/A</v>
          </cell>
          <cell r="AM82" t="str">
            <v/>
          </cell>
          <cell r="AN82">
            <v>0</v>
          </cell>
          <cell r="AO82" t="str">
            <v/>
          </cell>
          <cell r="AP82">
            <v>0</v>
          </cell>
          <cell r="AQ82" t="str">
            <v/>
          </cell>
          <cell r="AR82">
            <v>0</v>
          </cell>
          <cell r="AS82" t="str">
            <v/>
          </cell>
          <cell r="AT82" t="str">
            <v/>
          </cell>
          <cell r="AU82">
            <v>0</v>
          </cell>
          <cell r="AV82" t="e">
            <v>#N/A</v>
          </cell>
          <cell r="AW82" t="e">
            <v>#N/A</v>
          </cell>
          <cell r="AX82" t="e">
            <v>#N/A</v>
          </cell>
          <cell r="AY82" t="str">
            <v/>
          </cell>
          <cell r="AZ82">
            <v>0</v>
          </cell>
          <cell r="BA82" t="str">
            <v/>
          </cell>
          <cell r="BB82">
            <v>0</v>
          </cell>
          <cell r="BC82" t="str">
            <v/>
          </cell>
        </row>
        <row r="83">
          <cell r="AF83" t="str">
            <v/>
          </cell>
          <cell r="AG83" t="str">
            <v/>
          </cell>
          <cell r="AH83">
            <v>0</v>
          </cell>
          <cell r="AI83">
            <v>0</v>
          </cell>
          <cell r="AJ83" t="e">
            <v>#N/A</v>
          </cell>
          <cell r="AK83" t="e">
            <v>#N/A</v>
          </cell>
          <cell r="AL83" t="e">
            <v>#N/A</v>
          </cell>
          <cell r="AM83" t="str">
            <v/>
          </cell>
          <cell r="AN83">
            <v>0</v>
          </cell>
          <cell r="AO83" t="str">
            <v/>
          </cell>
          <cell r="AP83">
            <v>0</v>
          </cell>
          <cell r="AQ83" t="str">
            <v/>
          </cell>
          <cell r="AR83">
            <v>0</v>
          </cell>
          <cell r="AS83" t="str">
            <v/>
          </cell>
          <cell r="AT83" t="str">
            <v/>
          </cell>
          <cell r="AU83">
            <v>0</v>
          </cell>
          <cell r="AV83" t="e">
            <v>#N/A</v>
          </cell>
          <cell r="AW83" t="e">
            <v>#N/A</v>
          </cell>
          <cell r="AX83" t="e">
            <v>#N/A</v>
          </cell>
          <cell r="AY83" t="str">
            <v/>
          </cell>
          <cell r="AZ83">
            <v>0</v>
          </cell>
          <cell r="BA83" t="str">
            <v/>
          </cell>
          <cell r="BB83">
            <v>0</v>
          </cell>
          <cell r="BC83" t="str">
            <v/>
          </cell>
        </row>
        <row r="84">
          <cell r="AF84" t="str">
            <v/>
          </cell>
          <cell r="AG84" t="str">
            <v/>
          </cell>
          <cell r="AH84">
            <v>0</v>
          </cell>
          <cell r="AI84">
            <v>0</v>
          </cell>
          <cell r="AJ84" t="e">
            <v>#N/A</v>
          </cell>
          <cell r="AK84" t="e">
            <v>#N/A</v>
          </cell>
          <cell r="AL84" t="e">
            <v>#N/A</v>
          </cell>
          <cell r="AM84" t="str">
            <v/>
          </cell>
          <cell r="AN84">
            <v>0</v>
          </cell>
          <cell r="AO84" t="str">
            <v/>
          </cell>
          <cell r="AP84">
            <v>0</v>
          </cell>
          <cell r="AQ84" t="str">
            <v/>
          </cell>
          <cell r="AR84">
            <v>0</v>
          </cell>
          <cell r="AS84" t="str">
            <v/>
          </cell>
          <cell r="AT84" t="str">
            <v/>
          </cell>
          <cell r="AU84">
            <v>0</v>
          </cell>
          <cell r="AV84" t="e">
            <v>#N/A</v>
          </cell>
          <cell r="AW84" t="e">
            <v>#N/A</v>
          </cell>
          <cell r="AX84" t="e">
            <v>#N/A</v>
          </cell>
          <cell r="AY84" t="str">
            <v/>
          </cell>
          <cell r="AZ84">
            <v>0</v>
          </cell>
          <cell r="BA84" t="str">
            <v/>
          </cell>
          <cell r="BB84">
            <v>0</v>
          </cell>
          <cell r="BC84" t="str">
            <v/>
          </cell>
        </row>
        <row r="85">
          <cell r="AF85" t="str">
            <v/>
          </cell>
          <cell r="AG85" t="str">
            <v/>
          </cell>
          <cell r="AH85">
            <v>0</v>
          </cell>
          <cell r="AI85">
            <v>0</v>
          </cell>
          <cell r="AJ85" t="e">
            <v>#N/A</v>
          </cell>
          <cell r="AK85" t="e">
            <v>#N/A</v>
          </cell>
          <cell r="AL85" t="e">
            <v>#N/A</v>
          </cell>
          <cell r="AM85" t="str">
            <v/>
          </cell>
          <cell r="AN85">
            <v>0</v>
          </cell>
          <cell r="AO85" t="str">
            <v/>
          </cell>
          <cell r="AP85">
            <v>0</v>
          </cell>
          <cell r="AQ85" t="str">
            <v/>
          </cell>
          <cell r="AR85">
            <v>0</v>
          </cell>
          <cell r="AS85" t="str">
            <v/>
          </cell>
          <cell r="AT85" t="str">
            <v/>
          </cell>
          <cell r="AU85">
            <v>0</v>
          </cell>
          <cell r="AV85" t="e">
            <v>#N/A</v>
          </cell>
          <cell r="AW85" t="e">
            <v>#N/A</v>
          </cell>
          <cell r="AX85" t="e">
            <v>#N/A</v>
          </cell>
          <cell r="AY85" t="str">
            <v/>
          </cell>
          <cell r="AZ85">
            <v>0</v>
          </cell>
          <cell r="BA85" t="str">
            <v/>
          </cell>
          <cell r="BB85">
            <v>0</v>
          </cell>
          <cell r="BC85" t="str">
            <v/>
          </cell>
        </row>
        <row r="86">
          <cell r="AF86" t="str">
            <v/>
          </cell>
          <cell r="AG86" t="str">
            <v/>
          </cell>
          <cell r="AH86">
            <v>0</v>
          </cell>
          <cell r="AI86">
            <v>0</v>
          </cell>
          <cell r="AJ86" t="e">
            <v>#N/A</v>
          </cell>
          <cell r="AK86" t="e">
            <v>#N/A</v>
          </cell>
          <cell r="AL86" t="e">
            <v>#N/A</v>
          </cell>
          <cell r="AM86" t="str">
            <v/>
          </cell>
          <cell r="AN86">
            <v>0</v>
          </cell>
          <cell r="AO86" t="str">
            <v/>
          </cell>
          <cell r="AP86">
            <v>0</v>
          </cell>
          <cell r="AQ86" t="str">
            <v/>
          </cell>
          <cell r="AR86">
            <v>0</v>
          </cell>
          <cell r="AS86" t="str">
            <v/>
          </cell>
          <cell r="AT86" t="str">
            <v/>
          </cell>
          <cell r="AU86">
            <v>0</v>
          </cell>
          <cell r="AV86" t="e">
            <v>#N/A</v>
          </cell>
          <cell r="AW86" t="e">
            <v>#N/A</v>
          </cell>
          <cell r="AX86" t="e">
            <v>#N/A</v>
          </cell>
          <cell r="AY86" t="str">
            <v/>
          </cell>
          <cell r="AZ86">
            <v>0</v>
          </cell>
          <cell r="BA86" t="str">
            <v/>
          </cell>
          <cell r="BB86">
            <v>0</v>
          </cell>
          <cell r="BC86" t="str">
            <v/>
          </cell>
        </row>
        <row r="87">
          <cell r="AF87" t="str">
            <v/>
          </cell>
          <cell r="AG87" t="str">
            <v/>
          </cell>
          <cell r="AH87">
            <v>0</v>
          </cell>
          <cell r="AI87">
            <v>0</v>
          </cell>
          <cell r="AJ87" t="e">
            <v>#N/A</v>
          </cell>
          <cell r="AK87" t="e">
            <v>#N/A</v>
          </cell>
          <cell r="AL87" t="e">
            <v>#N/A</v>
          </cell>
          <cell r="AM87" t="str">
            <v/>
          </cell>
          <cell r="AN87">
            <v>0</v>
          </cell>
          <cell r="AO87" t="str">
            <v/>
          </cell>
          <cell r="AP87">
            <v>0</v>
          </cell>
          <cell r="AQ87" t="str">
            <v/>
          </cell>
          <cell r="AR87">
            <v>0</v>
          </cell>
          <cell r="AS87" t="str">
            <v/>
          </cell>
          <cell r="AT87" t="str">
            <v/>
          </cell>
          <cell r="AU87">
            <v>0</v>
          </cell>
          <cell r="AV87" t="e">
            <v>#N/A</v>
          </cell>
          <cell r="AW87" t="e">
            <v>#N/A</v>
          </cell>
          <cell r="AX87" t="e">
            <v>#N/A</v>
          </cell>
          <cell r="AY87" t="str">
            <v/>
          </cell>
          <cell r="AZ87">
            <v>0</v>
          </cell>
          <cell r="BA87" t="str">
            <v/>
          </cell>
          <cell r="BB87">
            <v>0</v>
          </cell>
          <cell r="BC87" t="str">
            <v/>
          </cell>
        </row>
        <row r="88">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row>
        <row r="89">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row>
        <row r="90">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row>
        <row r="91">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row>
        <row r="92">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row>
        <row r="93">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row>
        <row r="94">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row>
        <row r="95">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row>
        <row r="96">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row>
        <row r="97">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row>
        <row r="98">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row>
        <row r="99">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row>
        <row r="100">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row>
        <row r="101">
          <cell r="AF101" t="str">
            <v>Combustível</v>
          </cell>
          <cell r="AG101" t="str">
            <v>Combustível</v>
          </cell>
          <cell r="AH101" t="str">
            <v>Consumo Fósseis</v>
          </cell>
          <cell r="AI101">
            <v>0</v>
          </cell>
          <cell r="AJ101" t="str">
            <v>EFs Combustíveis Fosseis [Kg/L]</v>
          </cell>
          <cell r="AK101">
            <v>0</v>
          </cell>
          <cell r="AL101">
            <v>0</v>
          </cell>
          <cell r="AM101" t="str">
            <v>Emissões</v>
          </cell>
          <cell r="AN101">
            <v>0</v>
          </cell>
          <cell r="AO101">
            <v>0</v>
          </cell>
          <cell r="AP101">
            <v>0</v>
          </cell>
          <cell r="AQ101">
            <v>0</v>
          </cell>
          <cell r="AR101">
            <v>0</v>
          </cell>
          <cell r="AS101" t="str">
            <v>Combustível</v>
          </cell>
          <cell r="AT101" t="str">
            <v>Consumo não fossil</v>
          </cell>
          <cell r="AU101">
            <v>0</v>
          </cell>
          <cell r="AV101" t="str">
            <v>EFs Combustíveis não fosséis</v>
          </cell>
          <cell r="AW101">
            <v>0</v>
          </cell>
          <cell r="AX101">
            <v>0</v>
          </cell>
          <cell r="AY101" t="str">
            <v>Emissões</v>
          </cell>
          <cell r="AZ101">
            <v>0</v>
          </cell>
          <cell r="BA101">
            <v>0</v>
          </cell>
          <cell r="BB101">
            <v>0</v>
          </cell>
          <cell r="BC101">
            <v>0</v>
          </cell>
        </row>
        <row r="102">
          <cell r="AF102" t="str">
            <v>relatado</v>
          </cell>
          <cell r="AG102" t="str">
            <v>fóssil</v>
          </cell>
          <cell r="AH102">
            <v>0</v>
          </cell>
          <cell r="AI102">
            <v>0</v>
          </cell>
          <cell r="AJ102" t="str">
            <v>CO2</v>
          </cell>
          <cell r="AK102" t="str">
            <v>CH4</v>
          </cell>
          <cell r="AL102" t="str">
            <v>N2O</v>
          </cell>
          <cell r="AM102" t="str">
            <v>CO2</v>
          </cell>
          <cell r="AN102">
            <v>0</v>
          </cell>
          <cell r="AO102" t="str">
            <v>CH4</v>
          </cell>
          <cell r="AP102">
            <v>0</v>
          </cell>
          <cell r="AQ102" t="str">
            <v>N2O</v>
          </cell>
          <cell r="AR102">
            <v>0</v>
          </cell>
          <cell r="AS102" t="str">
            <v>não fóssil</v>
          </cell>
          <cell r="AT102">
            <v>0</v>
          </cell>
          <cell r="AU102">
            <v>0</v>
          </cell>
          <cell r="AV102" t="str">
            <v>CO2</v>
          </cell>
          <cell r="AW102" t="str">
            <v>CH4</v>
          </cell>
          <cell r="AX102" t="str">
            <v>N2O</v>
          </cell>
          <cell r="AY102" t="str">
            <v>CO2</v>
          </cell>
          <cell r="AZ102">
            <v>0</v>
          </cell>
          <cell r="BA102" t="str">
            <v>CH4</v>
          </cell>
          <cell r="BB102">
            <v>0</v>
          </cell>
          <cell r="BC102" t="str">
            <v>N2O</v>
          </cell>
        </row>
        <row r="103">
          <cell r="AF103" t="str">
            <v/>
          </cell>
          <cell r="AG103" t="str">
            <v/>
          </cell>
          <cell r="AH103">
            <v>0</v>
          </cell>
          <cell r="AI103">
            <v>0</v>
          </cell>
          <cell r="AJ103" t="e">
            <v>#N/A</v>
          </cell>
          <cell r="AK103" t="e">
            <v>#N/A</v>
          </cell>
          <cell r="AL103" t="e">
            <v>#N/A</v>
          </cell>
          <cell r="AM103" t="str">
            <v/>
          </cell>
          <cell r="AN103">
            <v>0</v>
          </cell>
          <cell r="AO103" t="str">
            <v/>
          </cell>
          <cell r="AP103">
            <v>0</v>
          </cell>
          <cell r="AQ103" t="str">
            <v/>
          </cell>
          <cell r="AR103">
            <v>0</v>
          </cell>
          <cell r="AS103" t="str">
            <v/>
          </cell>
          <cell r="AT103" t="str">
            <v/>
          </cell>
          <cell r="AU103">
            <v>0</v>
          </cell>
          <cell r="AV103" t="str">
            <v/>
          </cell>
          <cell r="AW103" t="e">
            <v>#N/A</v>
          </cell>
          <cell r="AX103" t="e">
            <v>#N/A</v>
          </cell>
          <cell r="AY103" t="str">
            <v/>
          </cell>
          <cell r="AZ103">
            <v>0</v>
          </cell>
          <cell r="BA103" t="str">
            <v/>
          </cell>
          <cell r="BB103">
            <v>0</v>
          </cell>
          <cell r="BC103" t="str">
            <v/>
          </cell>
        </row>
        <row r="104">
          <cell r="AF104" t="str">
            <v/>
          </cell>
          <cell r="AG104" t="str">
            <v/>
          </cell>
          <cell r="AH104">
            <v>0</v>
          </cell>
          <cell r="AI104">
            <v>0</v>
          </cell>
          <cell r="AJ104" t="e">
            <v>#N/A</v>
          </cell>
          <cell r="AK104" t="e">
            <v>#N/A</v>
          </cell>
          <cell r="AL104" t="e">
            <v>#N/A</v>
          </cell>
          <cell r="AM104" t="str">
            <v/>
          </cell>
          <cell r="AN104">
            <v>0</v>
          </cell>
          <cell r="AO104" t="str">
            <v/>
          </cell>
          <cell r="AP104">
            <v>0</v>
          </cell>
          <cell r="AQ104" t="str">
            <v/>
          </cell>
          <cell r="AR104">
            <v>0</v>
          </cell>
          <cell r="AS104" t="str">
            <v/>
          </cell>
          <cell r="AT104" t="str">
            <v/>
          </cell>
          <cell r="AU104">
            <v>0</v>
          </cell>
          <cell r="AV104" t="str">
            <v/>
          </cell>
          <cell r="AW104" t="e">
            <v>#N/A</v>
          </cell>
          <cell r="AX104" t="e">
            <v>#N/A</v>
          </cell>
          <cell r="AY104" t="str">
            <v/>
          </cell>
          <cell r="AZ104">
            <v>0</v>
          </cell>
          <cell r="BA104" t="str">
            <v/>
          </cell>
          <cell r="BB104">
            <v>0</v>
          </cell>
          <cell r="BC104" t="str">
            <v/>
          </cell>
        </row>
        <row r="105">
          <cell r="AF105" t="str">
            <v/>
          </cell>
          <cell r="AG105" t="str">
            <v/>
          </cell>
          <cell r="AH105">
            <v>0</v>
          </cell>
          <cell r="AI105">
            <v>0</v>
          </cell>
          <cell r="AJ105" t="e">
            <v>#N/A</v>
          </cell>
          <cell r="AK105" t="e">
            <v>#N/A</v>
          </cell>
          <cell r="AL105" t="e">
            <v>#N/A</v>
          </cell>
          <cell r="AM105" t="str">
            <v/>
          </cell>
          <cell r="AN105">
            <v>0</v>
          </cell>
          <cell r="AO105" t="str">
            <v/>
          </cell>
          <cell r="AP105">
            <v>0</v>
          </cell>
          <cell r="AQ105" t="str">
            <v/>
          </cell>
          <cell r="AR105">
            <v>0</v>
          </cell>
          <cell r="AS105" t="str">
            <v/>
          </cell>
          <cell r="AT105" t="str">
            <v/>
          </cell>
          <cell r="AU105">
            <v>0</v>
          </cell>
          <cell r="AV105" t="str">
            <v/>
          </cell>
          <cell r="AW105" t="e">
            <v>#N/A</v>
          </cell>
          <cell r="AX105" t="e">
            <v>#N/A</v>
          </cell>
          <cell r="AY105" t="str">
            <v/>
          </cell>
          <cell r="AZ105">
            <v>0</v>
          </cell>
          <cell r="BA105" t="str">
            <v/>
          </cell>
          <cell r="BB105">
            <v>0</v>
          </cell>
          <cell r="BC105" t="str">
            <v/>
          </cell>
        </row>
        <row r="106">
          <cell r="AF106" t="str">
            <v/>
          </cell>
          <cell r="AG106" t="str">
            <v/>
          </cell>
          <cell r="AH106">
            <v>0</v>
          </cell>
          <cell r="AI106">
            <v>0</v>
          </cell>
          <cell r="AJ106" t="e">
            <v>#N/A</v>
          </cell>
          <cell r="AK106" t="e">
            <v>#N/A</v>
          </cell>
          <cell r="AL106" t="e">
            <v>#N/A</v>
          </cell>
          <cell r="AM106" t="str">
            <v/>
          </cell>
          <cell r="AN106">
            <v>0</v>
          </cell>
          <cell r="AO106" t="str">
            <v/>
          </cell>
          <cell r="AP106">
            <v>0</v>
          </cell>
          <cell r="AQ106" t="str">
            <v/>
          </cell>
          <cell r="AR106">
            <v>0</v>
          </cell>
          <cell r="AS106" t="str">
            <v/>
          </cell>
          <cell r="AT106" t="str">
            <v/>
          </cell>
          <cell r="AU106">
            <v>0</v>
          </cell>
          <cell r="AV106" t="str">
            <v/>
          </cell>
          <cell r="AW106" t="e">
            <v>#N/A</v>
          </cell>
          <cell r="AX106" t="e">
            <v>#N/A</v>
          </cell>
          <cell r="AY106" t="str">
            <v/>
          </cell>
          <cell r="AZ106">
            <v>0</v>
          </cell>
          <cell r="BA106" t="str">
            <v/>
          </cell>
          <cell r="BB106">
            <v>0</v>
          </cell>
          <cell r="BC106" t="str">
            <v/>
          </cell>
        </row>
        <row r="107">
          <cell r="AF107" t="str">
            <v/>
          </cell>
          <cell r="AG107" t="str">
            <v/>
          </cell>
          <cell r="AH107">
            <v>0</v>
          </cell>
          <cell r="AI107">
            <v>0</v>
          </cell>
          <cell r="AJ107" t="e">
            <v>#N/A</v>
          </cell>
          <cell r="AK107" t="e">
            <v>#N/A</v>
          </cell>
          <cell r="AL107" t="e">
            <v>#N/A</v>
          </cell>
          <cell r="AM107" t="str">
            <v/>
          </cell>
          <cell r="AN107">
            <v>0</v>
          </cell>
          <cell r="AO107" t="str">
            <v/>
          </cell>
          <cell r="AP107">
            <v>0</v>
          </cell>
          <cell r="AQ107" t="str">
            <v/>
          </cell>
          <cell r="AR107">
            <v>0</v>
          </cell>
          <cell r="AS107" t="str">
            <v/>
          </cell>
          <cell r="AT107" t="str">
            <v/>
          </cell>
          <cell r="AU107">
            <v>0</v>
          </cell>
          <cell r="AV107" t="str">
            <v/>
          </cell>
          <cell r="AW107" t="e">
            <v>#N/A</v>
          </cell>
          <cell r="AX107" t="e">
            <v>#N/A</v>
          </cell>
          <cell r="AY107" t="str">
            <v/>
          </cell>
          <cell r="AZ107">
            <v>0</v>
          </cell>
          <cell r="BA107" t="str">
            <v/>
          </cell>
          <cell r="BB107">
            <v>0</v>
          </cell>
          <cell r="BC107" t="str">
            <v/>
          </cell>
        </row>
        <row r="108">
          <cell r="AF108" t="str">
            <v/>
          </cell>
          <cell r="AG108" t="str">
            <v/>
          </cell>
          <cell r="AH108">
            <v>0</v>
          </cell>
          <cell r="AI108">
            <v>0</v>
          </cell>
          <cell r="AJ108" t="e">
            <v>#N/A</v>
          </cell>
          <cell r="AK108" t="e">
            <v>#N/A</v>
          </cell>
          <cell r="AL108" t="e">
            <v>#N/A</v>
          </cell>
          <cell r="AM108" t="str">
            <v/>
          </cell>
          <cell r="AN108">
            <v>0</v>
          </cell>
          <cell r="AO108" t="str">
            <v/>
          </cell>
          <cell r="AP108">
            <v>0</v>
          </cell>
          <cell r="AQ108" t="str">
            <v/>
          </cell>
          <cell r="AR108">
            <v>0</v>
          </cell>
          <cell r="AS108" t="str">
            <v/>
          </cell>
          <cell r="AT108" t="str">
            <v/>
          </cell>
          <cell r="AU108">
            <v>0</v>
          </cell>
          <cell r="AV108" t="str">
            <v/>
          </cell>
          <cell r="AW108" t="e">
            <v>#N/A</v>
          </cell>
          <cell r="AX108" t="e">
            <v>#N/A</v>
          </cell>
          <cell r="AY108" t="str">
            <v/>
          </cell>
          <cell r="AZ108">
            <v>0</v>
          </cell>
          <cell r="BA108" t="str">
            <v/>
          </cell>
          <cell r="BB108">
            <v>0</v>
          </cell>
          <cell r="BC108" t="str">
            <v/>
          </cell>
        </row>
        <row r="109">
          <cell r="AF109" t="str">
            <v/>
          </cell>
          <cell r="AG109" t="str">
            <v/>
          </cell>
          <cell r="AH109">
            <v>0</v>
          </cell>
          <cell r="AI109">
            <v>0</v>
          </cell>
          <cell r="AJ109" t="e">
            <v>#N/A</v>
          </cell>
          <cell r="AK109" t="e">
            <v>#N/A</v>
          </cell>
          <cell r="AL109" t="e">
            <v>#N/A</v>
          </cell>
          <cell r="AM109" t="str">
            <v/>
          </cell>
          <cell r="AN109">
            <v>0</v>
          </cell>
          <cell r="AO109" t="str">
            <v/>
          </cell>
          <cell r="AP109">
            <v>0</v>
          </cell>
          <cell r="AQ109" t="str">
            <v/>
          </cell>
          <cell r="AR109">
            <v>0</v>
          </cell>
          <cell r="AS109" t="str">
            <v/>
          </cell>
          <cell r="AT109" t="str">
            <v/>
          </cell>
          <cell r="AU109">
            <v>0</v>
          </cell>
          <cell r="AV109" t="str">
            <v/>
          </cell>
          <cell r="AW109" t="e">
            <v>#N/A</v>
          </cell>
          <cell r="AX109" t="e">
            <v>#N/A</v>
          </cell>
          <cell r="AY109" t="str">
            <v/>
          </cell>
          <cell r="AZ109">
            <v>0</v>
          </cell>
          <cell r="BA109" t="str">
            <v/>
          </cell>
          <cell r="BB109">
            <v>0</v>
          </cell>
          <cell r="BC109" t="str">
            <v/>
          </cell>
        </row>
        <row r="110">
          <cell r="AF110" t="str">
            <v/>
          </cell>
          <cell r="AG110" t="str">
            <v/>
          </cell>
          <cell r="AH110">
            <v>0</v>
          </cell>
          <cell r="AI110">
            <v>0</v>
          </cell>
          <cell r="AJ110" t="e">
            <v>#N/A</v>
          </cell>
          <cell r="AK110" t="e">
            <v>#N/A</v>
          </cell>
          <cell r="AL110" t="e">
            <v>#N/A</v>
          </cell>
          <cell r="AM110" t="str">
            <v/>
          </cell>
          <cell r="AN110">
            <v>0</v>
          </cell>
          <cell r="AO110" t="str">
            <v/>
          </cell>
          <cell r="AP110">
            <v>0</v>
          </cell>
          <cell r="AQ110" t="str">
            <v/>
          </cell>
          <cell r="AR110">
            <v>0</v>
          </cell>
          <cell r="AS110" t="str">
            <v/>
          </cell>
          <cell r="AT110" t="str">
            <v/>
          </cell>
          <cell r="AU110">
            <v>0</v>
          </cell>
          <cell r="AV110" t="str">
            <v/>
          </cell>
          <cell r="AW110" t="e">
            <v>#N/A</v>
          </cell>
          <cell r="AX110" t="e">
            <v>#N/A</v>
          </cell>
          <cell r="AY110" t="str">
            <v/>
          </cell>
          <cell r="AZ110">
            <v>0</v>
          </cell>
          <cell r="BA110" t="str">
            <v/>
          </cell>
          <cell r="BB110">
            <v>0</v>
          </cell>
          <cell r="BC110" t="str">
            <v/>
          </cell>
        </row>
        <row r="111">
          <cell r="AF111" t="str">
            <v/>
          </cell>
          <cell r="AG111" t="str">
            <v/>
          </cell>
          <cell r="AH111">
            <v>0</v>
          </cell>
          <cell r="AI111">
            <v>0</v>
          </cell>
          <cell r="AJ111" t="e">
            <v>#N/A</v>
          </cell>
          <cell r="AK111" t="e">
            <v>#N/A</v>
          </cell>
          <cell r="AL111" t="e">
            <v>#N/A</v>
          </cell>
          <cell r="AM111" t="str">
            <v/>
          </cell>
          <cell r="AN111">
            <v>0</v>
          </cell>
          <cell r="AO111" t="str">
            <v/>
          </cell>
          <cell r="AP111">
            <v>0</v>
          </cell>
          <cell r="AQ111" t="str">
            <v/>
          </cell>
          <cell r="AR111">
            <v>0</v>
          </cell>
          <cell r="AS111" t="str">
            <v/>
          </cell>
          <cell r="AT111" t="str">
            <v/>
          </cell>
          <cell r="AU111">
            <v>0</v>
          </cell>
          <cell r="AV111" t="str">
            <v/>
          </cell>
          <cell r="AW111" t="e">
            <v>#N/A</v>
          </cell>
          <cell r="AX111" t="e">
            <v>#N/A</v>
          </cell>
          <cell r="AY111" t="str">
            <v/>
          </cell>
          <cell r="AZ111">
            <v>0</v>
          </cell>
          <cell r="BA111" t="str">
            <v/>
          </cell>
          <cell r="BB111">
            <v>0</v>
          </cell>
          <cell r="BC111" t="str">
            <v/>
          </cell>
        </row>
        <row r="112">
          <cell r="AF112" t="str">
            <v/>
          </cell>
          <cell r="AG112" t="str">
            <v/>
          </cell>
          <cell r="AH112">
            <v>0</v>
          </cell>
          <cell r="AI112">
            <v>0</v>
          </cell>
          <cell r="AJ112" t="e">
            <v>#N/A</v>
          </cell>
          <cell r="AK112" t="e">
            <v>#N/A</v>
          </cell>
          <cell r="AL112" t="e">
            <v>#N/A</v>
          </cell>
          <cell r="AM112" t="str">
            <v/>
          </cell>
          <cell r="AN112">
            <v>0</v>
          </cell>
          <cell r="AO112" t="str">
            <v/>
          </cell>
          <cell r="AP112">
            <v>0</v>
          </cell>
          <cell r="AQ112" t="str">
            <v/>
          </cell>
          <cell r="AR112">
            <v>0</v>
          </cell>
          <cell r="AS112" t="str">
            <v/>
          </cell>
          <cell r="AT112" t="str">
            <v/>
          </cell>
          <cell r="AU112">
            <v>0</v>
          </cell>
          <cell r="AV112" t="str">
            <v/>
          </cell>
          <cell r="AW112" t="e">
            <v>#N/A</v>
          </cell>
          <cell r="AX112" t="e">
            <v>#N/A</v>
          </cell>
          <cell r="AY112" t="str">
            <v/>
          </cell>
          <cell r="AZ112">
            <v>0</v>
          </cell>
          <cell r="BA112" t="str">
            <v/>
          </cell>
          <cell r="BB112">
            <v>0</v>
          </cell>
          <cell r="BC112" t="str">
            <v/>
          </cell>
        </row>
        <row r="113">
          <cell r="AF113" t="str">
            <v/>
          </cell>
          <cell r="AG113" t="str">
            <v/>
          </cell>
          <cell r="AH113">
            <v>0</v>
          </cell>
          <cell r="AI113">
            <v>0</v>
          </cell>
          <cell r="AJ113" t="e">
            <v>#N/A</v>
          </cell>
          <cell r="AK113" t="e">
            <v>#N/A</v>
          </cell>
          <cell r="AL113" t="e">
            <v>#N/A</v>
          </cell>
          <cell r="AM113" t="str">
            <v/>
          </cell>
          <cell r="AN113">
            <v>0</v>
          </cell>
          <cell r="AO113" t="str">
            <v/>
          </cell>
          <cell r="AP113">
            <v>0</v>
          </cell>
          <cell r="AQ113" t="str">
            <v/>
          </cell>
          <cell r="AR113">
            <v>0</v>
          </cell>
          <cell r="AS113" t="str">
            <v/>
          </cell>
          <cell r="AT113" t="str">
            <v/>
          </cell>
          <cell r="AU113">
            <v>0</v>
          </cell>
          <cell r="AV113" t="str">
            <v/>
          </cell>
          <cell r="AW113" t="e">
            <v>#N/A</v>
          </cell>
          <cell r="AX113" t="e">
            <v>#N/A</v>
          </cell>
          <cell r="AY113" t="str">
            <v/>
          </cell>
          <cell r="AZ113">
            <v>0</v>
          </cell>
          <cell r="BA113" t="str">
            <v/>
          </cell>
          <cell r="BB113">
            <v>0</v>
          </cell>
          <cell r="BC113" t="str">
            <v/>
          </cell>
        </row>
        <row r="114">
          <cell r="AF114" t="str">
            <v/>
          </cell>
          <cell r="AG114" t="str">
            <v/>
          </cell>
          <cell r="AH114">
            <v>0</v>
          </cell>
          <cell r="AI114">
            <v>0</v>
          </cell>
          <cell r="AJ114" t="e">
            <v>#N/A</v>
          </cell>
          <cell r="AK114" t="e">
            <v>#N/A</v>
          </cell>
          <cell r="AL114" t="e">
            <v>#N/A</v>
          </cell>
          <cell r="AM114" t="str">
            <v/>
          </cell>
          <cell r="AN114">
            <v>0</v>
          </cell>
          <cell r="AO114" t="str">
            <v/>
          </cell>
          <cell r="AP114">
            <v>0</v>
          </cell>
          <cell r="AQ114" t="str">
            <v/>
          </cell>
          <cell r="AR114">
            <v>0</v>
          </cell>
          <cell r="AS114" t="str">
            <v/>
          </cell>
          <cell r="AT114" t="str">
            <v/>
          </cell>
          <cell r="AU114">
            <v>0</v>
          </cell>
          <cell r="AV114" t="str">
            <v/>
          </cell>
          <cell r="AW114" t="e">
            <v>#N/A</v>
          </cell>
          <cell r="AX114" t="e">
            <v>#N/A</v>
          </cell>
          <cell r="AY114" t="str">
            <v/>
          </cell>
          <cell r="AZ114">
            <v>0</v>
          </cell>
          <cell r="BA114" t="str">
            <v/>
          </cell>
          <cell r="BB114">
            <v>0</v>
          </cell>
          <cell r="BC114" t="str">
            <v/>
          </cell>
        </row>
        <row r="115">
          <cell r="AF115" t="str">
            <v/>
          </cell>
          <cell r="AG115" t="str">
            <v/>
          </cell>
          <cell r="AH115">
            <v>0</v>
          </cell>
          <cell r="AI115">
            <v>0</v>
          </cell>
          <cell r="AJ115" t="e">
            <v>#N/A</v>
          </cell>
          <cell r="AK115" t="e">
            <v>#N/A</v>
          </cell>
          <cell r="AL115" t="e">
            <v>#N/A</v>
          </cell>
          <cell r="AM115" t="str">
            <v/>
          </cell>
          <cell r="AN115">
            <v>0</v>
          </cell>
          <cell r="AO115" t="str">
            <v/>
          </cell>
          <cell r="AP115">
            <v>0</v>
          </cell>
          <cell r="AQ115" t="str">
            <v/>
          </cell>
          <cell r="AR115">
            <v>0</v>
          </cell>
          <cell r="AS115" t="str">
            <v/>
          </cell>
          <cell r="AT115" t="str">
            <v/>
          </cell>
          <cell r="AU115">
            <v>0</v>
          </cell>
          <cell r="AV115" t="str">
            <v/>
          </cell>
          <cell r="AW115" t="e">
            <v>#N/A</v>
          </cell>
          <cell r="AX115" t="e">
            <v>#N/A</v>
          </cell>
          <cell r="AY115" t="str">
            <v/>
          </cell>
          <cell r="AZ115">
            <v>0</v>
          </cell>
          <cell r="BA115" t="str">
            <v/>
          </cell>
          <cell r="BB115">
            <v>0</v>
          </cell>
          <cell r="BC115" t="str">
            <v/>
          </cell>
        </row>
        <row r="116">
          <cell r="AF116" t="str">
            <v/>
          </cell>
          <cell r="AG116" t="str">
            <v/>
          </cell>
          <cell r="AH116">
            <v>0</v>
          </cell>
          <cell r="AI116">
            <v>0</v>
          </cell>
          <cell r="AJ116" t="e">
            <v>#N/A</v>
          </cell>
          <cell r="AK116" t="e">
            <v>#N/A</v>
          </cell>
          <cell r="AL116" t="e">
            <v>#N/A</v>
          </cell>
          <cell r="AM116" t="str">
            <v/>
          </cell>
          <cell r="AN116">
            <v>0</v>
          </cell>
          <cell r="AO116" t="str">
            <v/>
          </cell>
          <cell r="AP116">
            <v>0</v>
          </cell>
          <cell r="AQ116" t="str">
            <v/>
          </cell>
          <cell r="AR116">
            <v>0</v>
          </cell>
          <cell r="AS116" t="str">
            <v/>
          </cell>
          <cell r="AT116" t="str">
            <v/>
          </cell>
          <cell r="AU116">
            <v>0</v>
          </cell>
          <cell r="AV116" t="str">
            <v/>
          </cell>
          <cell r="AW116" t="e">
            <v>#N/A</v>
          </cell>
          <cell r="AX116" t="e">
            <v>#N/A</v>
          </cell>
          <cell r="AY116" t="str">
            <v/>
          </cell>
          <cell r="AZ116">
            <v>0</v>
          </cell>
          <cell r="BA116" t="str">
            <v/>
          </cell>
          <cell r="BB116">
            <v>0</v>
          </cell>
          <cell r="BC116" t="str">
            <v/>
          </cell>
        </row>
        <row r="117">
          <cell r="AF117" t="str">
            <v/>
          </cell>
          <cell r="AG117" t="str">
            <v/>
          </cell>
          <cell r="AH117">
            <v>0</v>
          </cell>
          <cell r="AI117">
            <v>0</v>
          </cell>
          <cell r="AJ117" t="e">
            <v>#N/A</v>
          </cell>
          <cell r="AK117" t="e">
            <v>#N/A</v>
          </cell>
          <cell r="AL117" t="e">
            <v>#N/A</v>
          </cell>
          <cell r="AM117" t="str">
            <v/>
          </cell>
          <cell r="AN117">
            <v>0</v>
          </cell>
          <cell r="AO117" t="str">
            <v/>
          </cell>
          <cell r="AP117">
            <v>0</v>
          </cell>
          <cell r="AQ117" t="str">
            <v/>
          </cell>
          <cell r="AR117">
            <v>0</v>
          </cell>
          <cell r="AS117" t="str">
            <v/>
          </cell>
          <cell r="AT117" t="str">
            <v/>
          </cell>
          <cell r="AU117">
            <v>0</v>
          </cell>
          <cell r="AV117" t="str">
            <v/>
          </cell>
          <cell r="AW117" t="e">
            <v>#N/A</v>
          </cell>
          <cell r="AX117" t="e">
            <v>#N/A</v>
          </cell>
          <cell r="AY117" t="str">
            <v/>
          </cell>
          <cell r="AZ117">
            <v>0</v>
          </cell>
          <cell r="BA117" t="str">
            <v/>
          </cell>
          <cell r="BB117">
            <v>0</v>
          </cell>
          <cell r="BC117" t="str">
            <v/>
          </cell>
        </row>
        <row r="118">
          <cell r="AF118" t="str">
            <v/>
          </cell>
          <cell r="AG118" t="str">
            <v/>
          </cell>
          <cell r="AH118">
            <v>0</v>
          </cell>
          <cell r="AI118">
            <v>0</v>
          </cell>
          <cell r="AJ118" t="e">
            <v>#N/A</v>
          </cell>
          <cell r="AK118" t="e">
            <v>#N/A</v>
          </cell>
          <cell r="AL118" t="e">
            <v>#N/A</v>
          </cell>
          <cell r="AM118" t="str">
            <v/>
          </cell>
          <cell r="AN118">
            <v>0</v>
          </cell>
          <cell r="AO118" t="str">
            <v/>
          </cell>
          <cell r="AP118">
            <v>0</v>
          </cell>
          <cell r="AQ118" t="str">
            <v/>
          </cell>
          <cell r="AR118">
            <v>0</v>
          </cell>
          <cell r="AS118" t="str">
            <v/>
          </cell>
          <cell r="AT118" t="str">
            <v/>
          </cell>
          <cell r="AU118">
            <v>0</v>
          </cell>
          <cell r="AV118" t="str">
            <v/>
          </cell>
          <cell r="AW118" t="e">
            <v>#N/A</v>
          </cell>
          <cell r="AX118" t="e">
            <v>#N/A</v>
          </cell>
          <cell r="AY118" t="str">
            <v/>
          </cell>
          <cell r="AZ118">
            <v>0</v>
          </cell>
          <cell r="BA118" t="str">
            <v/>
          </cell>
          <cell r="BB118">
            <v>0</v>
          </cell>
          <cell r="BC118" t="str">
            <v/>
          </cell>
        </row>
        <row r="119">
          <cell r="AF119" t="str">
            <v/>
          </cell>
          <cell r="AG119" t="str">
            <v/>
          </cell>
          <cell r="AH119">
            <v>0</v>
          </cell>
          <cell r="AI119">
            <v>0</v>
          </cell>
          <cell r="AJ119" t="e">
            <v>#N/A</v>
          </cell>
          <cell r="AK119" t="e">
            <v>#N/A</v>
          </cell>
          <cell r="AL119" t="e">
            <v>#N/A</v>
          </cell>
          <cell r="AM119" t="str">
            <v/>
          </cell>
          <cell r="AN119">
            <v>0</v>
          </cell>
          <cell r="AO119" t="str">
            <v/>
          </cell>
          <cell r="AP119">
            <v>0</v>
          </cell>
          <cell r="AQ119" t="str">
            <v/>
          </cell>
          <cell r="AR119">
            <v>0</v>
          </cell>
          <cell r="AS119" t="str">
            <v/>
          </cell>
          <cell r="AT119" t="str">
            <v/>
          </cell>
          <cell r="AU119">
            <v>0</v>
          </cell>
          <cell r="AV119" t="str">
            <v/>
          </cell>
          <cell r="AW119" t="e">
            <v>#N/A</v>
          </cell>
          <cell r="AX119" t="e">
            <v>#N/A</v>
          </cell>
          <cell r="AY119" t="str">
            <v/>
          </cell>
          <cell r="AZ119">
            <v>0</v>
          </cell>
          <cell r="BA119" t="str">
            <v/>
          </cell>
          <cell r="BB119">
            <v>0</v>
          </cell>
          <cell r="BC119" t="str">
            <v/>
          </cell>
        </row>
        <row r="120">
          <cell r="AF120" t="str">
            <v/>
          </cell>
          <cell r="AG120" t="str">
            <v/>
          </cell>
          <cell r="AH120">
            <v>0</v>
          </cell>
          <cell r="AI120">
            <v>0</v>
          </cell>
          <cell r="AJ120" t="e">
            <v>#N/A</v>
          </cell>
          <cell r="AK120" t="e">
            <v>#N/A</v>
          </cell>
          <cell r="AL120" t="e">
            <v>#N/A</v>
          </cell>
          <cell r="AM120" t="str">
            <v/>
          </cell>
          <cell r="AN120">
            <v>0</v>
          </cell>
          <cell r="AO120" t="str">
            <v/>
          </cell>
          <cell r="AP120">
            <v>0</v>
          </cell>
          <cell r="AQ120" t="str">
            <v/>
          </cell>
          <cell r="AR120">
            <v>0</v>
          </cell>
          <cell r="AS120" t="str">
            <v/>
          </cell>
          <cell r="AT120" t="str">
            <v/>
          </cell>
          <cell r="AU120">
            <v>0</v>
          </cell>
          <cell r="AV120" t="str">
            <v/>
          </cell>
          <cell r="AW120" t="e">
            <v>#N/A</v>
          </cell>
          <cell r="AX120" t="e">
            <v>#N/A</v>
          </cell>
          <cell r="AY120" t="str">
            <v/>
          </cell>
          <cell r="AZ120">
            <v>0</v>
          </cell>
          <cell r="BA120" t="str">
            <v/>
          </cell>
          <cell r="BB120">
            <v>0</v>
          </cell>
          <cell r="BC120" t="str">
            <v/>
          </cell>
        </row>
        <row r="121">
          <cell r="AF121" t="str">
            <v/>
          </cell>
          <cell r="AG121" t="str">
            <v/>
          </cell>
          <cell r="AH121">
            <v>0</v>
          </cell>
          <cell r="AI121">
            <v>0</v>
          </cell>
          <cell r="AJ121" t="e">
            <v>#N/A</v>
          </cell>
          <cell r="AK121" t="e">
            <v>#N/A</v>
          </cell>
          <cell r="AL121" t="e">
            <v>#N/A</v>
          </cell>
          <cell r="AM121" t="str">
            <v/>
          </cell>
          <cell r="AN121">
            <v>0</v>
          </cell>
          <cell r="AO121" t="str">
            <v/>
          </cell>
          <cell r="AP121">
            <v>0</v>
          </cell>
          <cell r="AQ121" t="str">
            <v/>
          </cell>
          <cell r="AR121">
            <v>0</v>
          </cell>
          <cell r="AS121" t="str">
            <v/>
          </cell>
          <cell r="AT121" t="str">
            <v/>
          </cell>
          <cell r="AU121">
            <v>0</v>
          </cell>
          <cell r="AV121" t="str">
            <v/>
          </cell>
          <cell r="AW121" t="e">
            <v>#N/A</v>
          </cell>
          <cell r="AX121" t="e">
            <v>#N/A</v>
          </cell>
          <cell r="AY121" t="str">
            <v/>
          </cell>
          <cell r="AZ121">
            <v>0</v>
          </cell>
          <cell r="BA121" t="str">
            <v/>
          </cell>
          <cell r="BB121">
            <v>0</v>
          </cell>
          <cell r="BC121" t="str">
            <v/>
          </cell>
        </row>
        <row r="122">
          <cell r="AF122" t="str">
            <v/>
          </cell>
          <cell r="AG122" t="str">
            <v/>
          </cell>
          <cell r="AH122">
            <v>0</v>
          </cell>
          <cell r="AI122">
            <v>0</v>
          </cell>
          <cell r="AJ122" t="e">
            <v>#N/A</v>
          </cell>
          <cell r="AK122" t="e">
            <v>#N/A</v>
          </cell>
          <cell r="AL122" t="e">
            <v>#N/A</v>
          </cell>
          <cell r="AM122" t="str">
            <v/>
          </cell>
          <cell r="AN122">
            <v>0</v>
          </cell>
          <cell r="AO122" t="str">
            <v/>
          </cell>
          <cell r="AP122">
            <v>0</v>
          </cell>
          <cell r="AQ122" t="str">
            <v/>
          </cell>
          <cell r="AR122">
            <v>0</v>
          </cell>
          <cell r="AS122" t="str">
            <v/>
          </cell>
          <cell r="AT122" t="str">
            <v/>
          </cell>
          <cell r="AU122">
            <v>0</v>
          </cell>
          <cell r="AV122" t="str">
            <v/>
          </cell>
          <cell r="AW122" t="e">
            <v>#N/A</v>
          </cell>
          <cell r="AX122" t="e">
            <v>#N/A</v>
          </cell>
          <cell r="AY122" t="str">
            <v/>
          </cell>
          <cell r="AZ122">
            <v>0</v>
          </cell>
          <cell r="BA122" t="str">
            <v/>
          </cell>
          <cell r="BB122">
            <v>0</v>
          </cell>
          <cell r="BC122" t="str">
            <v/>
          </cell>
        </row>
        <row r="123">
          <cell r="AF123" t="str">
            <v/>
          </cell>
          <cell r="AG123" t="str">
            <v/>
          </cell>
          <cell r="AH123">
            <v>0</v>
          </cell>
          <cell r="AI123">
            <v>0</v>
          </cell>
          <cell r="AJ123" t="e">
            <v>#N/A</v>
          </cell>
          <cell r="AK123" t="e">
            <v>#N/A</v>
          </cell>
          <cell r="AL123" t="e">
            <v>#N/A</v>
          </cell>
          <cell r="AM123" t="str">
            <v/>
          </cell>
          <cell r="AN123">
            <v>0</v>
          </cell>
          <cell r="AO123" t="str">
            <v/>
          </cell>
          <cell r="AP123">
            <v>0</v>
          </cell>
          <cell r="AQ123" t="str">
            <v/>
          </cell>
          <cell r="AR123">
            <v>0</v>
          </cell>
          <cell r="AS123" t="str">
            <v/>
          </cell>
          <cell r="AT123" t="str">
            <v/>
          </cell>
          <cell r="AU123">
            <v>0</v>
          </cell>
          <cell r="AV123" t="str">
            <v/>
          </cell>
          <cell r="AW123" t="e">
            <v>#N/A</v>
          </cell>
          <cell r="AX123" t="e">
            <v>#N/A</v>
          </cell>
          <cell r="AY123" t="str">
            <v/>
          </cell>
          <cell r="AZ123">
            <v>0</v>
          </cell>
          <cell r="BA123" t="str">
            <v/>
          </cell>
          <cell r="BB123">
            <v>0</v>
          </cell>
          <cell r="BC123" t="str">
            <v/>
          </cell>
        </row>
        <row r="124">
          <cell r="AF124" t="str">
            <v/>
          </cell>
          <cell r="AG124" t="str">
            <v/>
          </cell>
          <cell r="AH124">
            <v>0</v>
          </cell>
          <cell r="AI124">
            <v>0</v>
          </cell>
          <cell r="AJ124" t="e">
            <v>#N/A</v>
          </cell>
          <cell r="AK124" t="e">
            <v>#N/A</v>
          </cell>
          <cell r="AL124" t="e">
            <v>#N/A</v>
          </cell>
          <cell r="AM124" t="str">
            <v/>
          </cell>
          <cell r="AN124">
            <v>0</v>
          </cell>
          <cell r="AO124" t="str">
            <v/>
          </cell>
          <cell r="AP124">
            <v>0</v>
          </cell>
          <cell r="AQ124" t="str">
            <v/>
          </cell>
          <cell r="AR124">
            <v>0</v>
          </cell>
          <cell r="AS124" t="str">
            <v/>
          </cell>
          <cell r="AT124" t="str">
            <v/>
          </cell>
          <cell r="AU124">
            <v>0</v>
          </cell>
          <cell r="AV124" t="str">
            <v/>
          </cell>
          <cell r="AW124" t="e">
            <v>#N/A</v>
          </cell>
          <cell r="AX124" t="e">
            <v>#N/A</v>
          </cell>
          <cell r="AY124" t="str">
            <v/>
          </cell>
          <cell r="AZ124">
            <v>0</v>
          </cell>
          <cell r="BA124" t="str">
            <v/>
          </cell>
          <cell r="BB124">
            <v>0</v>
          </cell>
          <cell r="BC124" t="str">
            <v/>
          </cell>
        </row>
        <row r="125">
          <cell r="AF125" t="str">
            <v/>
          </cell>
          <cell r="AG125" t="str">
            <v/>
          </cell>
          <cell r="AH125">
            <v>0</v>
          </cell>
          <cell r="AI125">
            <v>0</v>
          </cell>
          <cell r="AJ125" t="e">
            <v>#N/A</v>
          </cell>
          <cell r="AK125" t="e">
            <v>#N/A</v>
          </cell>
          <cell r="AL125" t="e">
            <v>#N/A</v>
          </cell>
          <cell r="AM125" t="str">
            <v/>
          </cell>
          <cell r="AN125">
            <v>0</v>
          </cell>
          <cell r="AO125" t="str">
            <v/>
          </cell>
          <cell r="AP125">
            <v>0</v>
          </cell>
          <cell r="AQ125" t="str">
            <v/>
          </cell>
          <cell r="AR125">
            <v>0</v>
          </cell>
          <cell r="AS125" t="str">
            <v/>
          </cell>
          <cell r="AT125" t="str">
            <v/>
          </cell>
          <cell r="AU125">
            <v>0</v>
          </cell>
          <cell r="AV125" t="str">
            <v/>
          </cell>
          <cell r="AW125" t="e">
            <v>#N/A</v>
          </cell>
          <cell r="AX125" t="e">
            <v>#N/A</v>
          </cell>
          <cell r="AY125" t="str">
            <v/>
          </cell>
          <cell r="AZ125">
            <v>0</v>
          </cell>
          <cell r="BA125" t="str">
            <v/>
          </cell>
          <cell r="BB125">
            <v>0</v>
          </cell>
          <cell r="BC125" t="str">
            <v/>
          </cell>
        </row>
        <row r="126">
          <cell r="AF126" t="str">
            <v/>
          </cell>
          <cell r="AG126" t="str">
            <v/>
          </cell>
          <cell r="AH126">
            <v>0</v>
          </cell>
          <cell r="AI126">
            <v>0</v>
          </cell>
          <cell r="AJ126" t="e">
            <v>#N/A</v>
          </cell>
          <cell r="AK126" t="e">
            <v>#N/A</v>
          </cell>
          <cell r="AL126" t="e">
            <v>#N/A</v>
          </cell>
          <cell r="AM126" t="str">
            <v/>
          </cell>
          <cell r="AN126">
            <v>0</v>
          </cell>
          <cell r="AO126" t="str">
            <v/>
          </cell>
          <cell r="AP126">
            <v>0</v>
          </cell>
          <cell r="AQ126" t="str">
            <v/>
          </cell>
          <cell r="AR126">
            <v>0</v>
          </cell>
          <cell r="AS126" t="str">
            <v/>
          </cell>
          <cell r="AT126" t="str">
            <v/>
          </cell>
          <cell r="AU126">
            <v>0</v>
          </cell>
          <cell r="AV126" t="str">
            <v/>
          </cell>
          <cell r="AW126" t="e">
            <v>#N/A</v>
          </cell>
          <cell r="AX126" t="e">
            <v>#N/A</v>
          </cell>
          <cell r="AY126" t="str">
            <v/>
          </cell>
          <cell r="AZ126">
            <v>0</v>
          </cell>
          <cell r="BA126" t="str">
            <v/>
          </cell>
          <cell r="BB126">
            <v>0</v>
          </cell>
          <cell r="BC126" t="str">
            <v/>
          </cell>
        </row>
        <row r="127">
          <cell r="AF127" t="str">
            <v/>
          </cell>
          <cell r="AG127" t="str">
            <v/>
          </cell>
          <cell r="AH127">
            <v>0</v>
          </cell>
          <cell r="AI127">
            <v>0</v>
          </cell>
          <cell r="AJ127" t="e">
            <v>#N/A</v>
          </cell>
          <cell r="AK127" t="e">
            <v>#N/A</v>
          </cell>
          <cell r="AL127" t="e">
            <v>#N/A</v>
          </cell>
          <cell r="AM127" t="str">
            <v/>
          </cell>
          <cell r="AN127">
            <v>0</v>
          </cell>
          <cell r="AO127" t="str">
            <v/>
          </cell>
          <cell r="AP127">
            <v>0</v>
          </cell>
          <cell r="AQ127" t="str">
            <v/>
          </cell>
          <cell r="AR127">
            <v>0</v>
          </cell>
          <cell r="AS127" t="str">
            <v/>
          </cell>
          <cell r="AT127" t="str">
            <v/>
          </cell>
          <cell r="AU127">
            <v>0</v>
          </cell>
          <cell r="AV127" t="str">
            <v/>
          </cell>
          <cell r="AW127" t="e">
            <v>#N/A</v>
          </cell>
          <cell r="AX127" t="e">
            <v>#N/A</v>
          </cell>
          <cell r="AY127" t="str">
            <v/>
          </cell>
          <cell r="AZ127">
            <v>0</v>
          </cell>
          <cell r="BA127" t="str">
            <v/>
          </cell>
          <cell r="BB127">
            <v>0</v>
          </cell>
          <cell r="BC127" t="str">
            <v/>
          </cell>
        </row>
        <row r="128">
          <cell r="AF128" t="str">
            <v/>
          </cell>
          <cell r="AG128" t="str">
            <v/>
          </cell>
          <cell r="AH128">
            <v>0</v>
          </cell>
          <cell r="AI128">
            <v>0</v>
          </cell>
          <cell r="AJ128" t="e">
            <v>#N/A</v>
          </cell>
          <cell r="AK128" t="e">
            <v>#N/A</v>
          </cell>
          <cell r="AL128" t="e">
            <v>#N/A</v>
          </cell>
          <cell r="AM128" t="str">
            <v/>
          </cell>
          <cell r="AN128">
            <v>0</v>
          </cell>
          <cell r="AO128" t="str">
            <v/>
          </cell>
          <cell r="AP128">
            <v>0</v>
          </cell>
          <cell r="AQ128" t="str">
            <v/>
          </cell>
          <cell r="AR128">
            <v>0</v>
          </cell>
          <cell r="AS128" t="str">
            <v/>
          </cell>
          <cell r="AT128" t="str">
            <v/>
          </cell>
          <cell r="AU128">
            <v>0</v>
          </cell>
          <cell r="AV128" t="str">
            <v/>
          </cell>
          <cell r="AW128" t="e">
            <v>#N/A</v>
          </cell>
          <cell r="AX128" t="e">
            <v>#N/A</v>
          </cell>
          <cell r="AY128" t="str">
            <v/>
          </cell>
          <cell r="AZ128">
            <v>0</v>
          </cell>
          <cell r="BA128" t="str">
            <v/>
          </cell>
          <cell r="BB128">
            <v>0</v>
          </cell>
          <cell r="BC128" t="str">
            <v/>
          </cell>
        </row>
        <row r="129">
          <cell r="AF129" t="str">
            <v/>
          </cell>
          <cell r="AG129" t="str">
            <v/>
          </cell>
          <cell r="AH129">
            <v>0</v>
          </cell>
          <cell r="AI129">
            <v>0</v>
          </cell>
          <cell r="AJ129" t="e">
            <v>#N/A</v>
          </cell>
          <cell r="AK129" t="e">
            <v>#N/A</v>
          </cell>
          <cell r="AL129" t="e">
            <v>#N/A</v>
          </cell>
          <cell r="AM129" t="str">
            <v/>
          </cell>
          <cell r="AN129">
            <v>0</v>
          </cell>
          <cell r="AO129" t="str">
            <v/>
          </cell>
          <cell r="AP129">
            <v>0</v>
          </cell>
          <cell r="AQ129" t="str">
            <v/>
          </cell>
          <cell r="AR129">
            <v>0</v>
          </cell>
          <cell r="AS129" t="str">
            <v/>
          </cell>
          <cell r="AT129" t="str">
            <v/>
          </cell>
          <cell r="AU129">
            <v>0</v>
          </cell>
          <cell r="AV129" t="str">
            <v/>
          </cell>
          <cell r="AW129" t="e">
            <v>#N/A</v>
          </cell>
          <cell r="AX129" t="e">
            <v>#N/A</v>
          </cell>
          <cell r="AY129" t="str">
            <v/>
          </cell>
          <cell r="AZ129">
            <v>0</v>
          </cell>
          <cell r="BA129" t="str">
            <v/>
          </cell>
          <cell r="BB129">
            <v>0</v>
          </cell>
          <cell r="BC129" t="str">
            <v/>
          </cell>
        </row>
        <row r="130">
          <cell r="AF130" t="str">
            <v/>
          </cell>
          <cell r="AG130" t="str">
            <v/>
          </cell>
          <cell r="AH130">
            <v>0</v>
          </cell>
          <cell r="AI130">
            <v>0</v>
          </cell>
          <cell r="AJ130" t="e">
            <v>#N/A</v>
          </cell>
          <cell r="AK130" t="e">
            <v>#N/A</v>
          </cell>
          <cell r="AL130" t="e">
            <v>#N/A</v>
          </cell>
          <cell r="AM130" t="str">
            <v/>
          </cell>
          <cell r="AN130">
            <v>0</v>
          </cell>
          <cell r="AO130" t="str">
            <v/>
          </cell>
          <cell r="AP130">
            <v>0</v>
          </cell>
          <cell r="AQ130" t="str">
            <v/>
          </cell>
          <cell r="AR130">
            <v>0</v>
          </cell>
          <cell r="AS130" t="str">
            <v/>
          </cell>
          <cell r="AT130" t="str">
            <v/>
          </cell>
          <cell r="AU130">
            <v>0</v>
          </cell>
          <cell r="AV130" t="str">
            <v/>
          </cell>
          <cell r="AW130" t="e">
            <v>#N/A</v>
          </cell>
          <cell r="AX130" t="e">
            <v>#N/A</v>
          </cell>
          <cell r="AY130" t="str">
            <v/>
          </cell>
          <cell r="AZ130">
            <v>0</v>
          </cell>
          <cell r="BA130" t="str">
            <v/>
          </cell>
          <cell r="BB130">
            <v>0</v>
          </cell>
          <cell r="BC130" t="str">
            <v/>
          </cell>
        </row>
        <row r="131">
          <cell r="AF131" t="str">
            <v/>
          </cell>
          <cell r="AG131" t="str">
            <v/>
          </cell>
          <cell r="AH131">
            <v>0</v>
          </cell>
          <cell r="AI131">
            <v>0</v>
          </cell>
          <cell r="AJ131" t="e">
            <v>#N/A</v>
          </cell>
          <cell r="AK131" t="e">
            <v>#N/A</v>
          </cell>
          <cell r="AL131" t="e">
            <v>#N/A</v>
          </cell>
          <cell r="AM131" t="str">
            <v/>
          </cell>
          <cell r="AN131">
            <v>0</v>
          </cell>
          <cell r="AO131" t="str">
            <v/>
          </cell>
          <cell r="AP131">
            <v>0</v>
          </cell>
          <cell r="AQ131" t="str">
            <v/>
          </cell>
          <cell r="AR131">
            <v>0</v>
          </cell>
          <cell r="AS131" t="str">
            <v/>
          </cell>
          <cell r="AT131" t="str">
            <v/>
          </cell>
          <cell r="AU131">
            <v>0</v>
          </cell>
          <cell r="AV131" t="str">
            <v/>
          </cell>
          <cell r="AW131" t="e">
            <v>#N/A</v>
          </cell>
          <cell r="AX131" t="e">
            <v>#N/A</v>
          </cell>
          <cell r="AY131" t="str">
            <v/>
          </cell>
          <cell r="AZ131">
            <v>0</v>
          </cell>
          <cell r="BA131" t="str">
            <v/>
          </cell>
          <cell r="BB131">
            <v>0</v>
          </cell>
          <cell r="BC131" t="str">
            <v/>
          </cell>
        </row>
        <row r="132">
          <cell r="AF132" t="str">
            <v/>
          </cell>
          <cell r="AG132" t="str">
            <v/>
          </cell>
          <cell r="AH132">
            <v>0</v>
          </cell>
          <cell r="AI132">
            <v>0</v>
          </cell>
          <cell r="AJ132" t="e">
            <v>#N/A</v>
          </cell>
          <cell r="AK132" t="e">
            <v>#N/A</v>
          </cell>
          <cell r="AL132" t="e">
            <v>#N/A</v>
          </cell>
          <cell r="AM132" t="str">
            <v/>
          </cell>
          <cell r="AN132">
            <v>0</v>
          </cell>
          <cell r="AO132" t="str">
            <v/>
          </cell>
          <cell r="AP132">
            <v>0</v>
          </cell>
          <cell r="AQ132" t="str">
            <v/>
          </cell>
          <cell r="AR132">
            <v>0</v>
          </cell>
          <cell r="AS132" t="str">
            <v/>
          </cell>
          <cell r="AT132" t="str">
            <v/>
          </cell>
          <cell r="AU132">
            <v>0</v>
          </cell>
          <cell r="AV132" t="str">
            <v/>
          </cell>
          <cell r="AW132" t="e">
            <v>#N/A</v>
          </cell>
          <cell r="AX132" t="e">
            <v>#N/A</v>
          </cell>
          <cell r="AY132" t="str">
            <v/>
          </cell>
          <cell r="AZ132">
            <v>0</v>
          </cell>
          <cell r="BA132" t="str">
            <v/>
          </cell>
          <cell r="BB132">
            <v>0</v>
          </cell>
          <cell r="BC132" t="str">
            <v/>
          </cell>
        </row>
        <row r="133">
          <cell r="AF133" t="str">
            <v/>
          </cell>
          <cell r="AG133" t="str">
            <v/>
          </cell>
          <cell r="AH133">
            <v>0</v>
          </cell>
          <cell r="AI133">
            <v>0</v>
          </cell>
          <cell r="AJ133" t="e">
            <v>#N/A</v>
          </cell>
          <cell r="AK133" t="e">
            <v>#N/A</v>
          </cell>
          <cell r="AL133" t="e">
            <v>#N/A</v>
          </cell>
          <cell r="AM133" t="str">
            <v/>
          </cell>
          <cell r="AN133">
            <v>0</v>
          </cell>
          <cell r="AO133" t="str">
            <v/>
          </cell>
          <cell r="AP133">
            <v>0</v>
          </cell>
          <cell r="AQ133" t="str">
            <v/>
          </cell>
          <cell r="AR133">
            <v>0</v>
          </cell>
          <cell r="AS133" t="str">
            <v/>
          </cell>
          <cell r="AT133" t="str">
            <v/>
          </cell>
          <cell r="AU133">
            <v>0</v>
          </cell>
          <cell r="AV133" t="str">
            <v/>
          </cell>
          <cell r="AW133" t="e">
            <v>#N/A</v>
          </cell>
          <cell r="AX133" t="e">
            <v>#N/A</v>
          </cell>
          <cell r="AY133" t="str">
            <v/>
          </cell>
          <cell r="AZ133">
            <v>0</v>
          </cell>
          <cell r="BA133" t="str">
            <v/>
          </cell>
          <cell r="BB133">
            <v>0</v>
          </cell>
          <cell r="BC133" t="str">
            <v/>
          </cell>
        </row>
        <row r="134">
          <cell r="AF134" t="str">
            <v/>
          </cell>
          <cell r="AG134" t="str">
            <v/>
          </cell>
          <cell r="AH134">
            <v>0</v>
          </cell>
          <cell r="AI134">
            <v>0</v>
          </cell>
          <cell r="AJ134" t="e">
            <v>#N/A</v>
          </cell>
          <cell r="AK134" t="e">
            <v>#N/A</v>
          </cell>
          <cell r="AL134" t="e">
            <v>#N/A</v>
          </cell>
          <cell r="AM134" t="str">
            <v/>
          </cell>
          <cell r="AN134">
            <v>0</v>
          </cell>
          <cell r="AO134" t="str">
            <v/>
          </cell>
          <cell r="AP134">
            <v>0</v>
          </cell>
          <cell r="AQ134" t="str">
            <v/>
          </cell>
          <cell r="AR134">
            <v>0</v>
          </cell>
          <cell r="AS134" t="str">
            <v/>
          </cell>
          <cell r="AT134" t="str">
            <v/>
          </cell>
          <cell r="AU134">
            <v>0</v>
          </cell>
          <cell r="AV134" t="str">
            <v/>
          </cell>
          <cell r="AW134" t="e">
            <v>#N/A</v>
          </cell>
          <cell r="AX134" t="e">
            <v>#N/A</v>
          </cell>
          <cell r="AY134" t="str">
            <v/>
          </cell>
          <cell r="AZ134">
            <v>0</v>
          </cell>
          <cell r="BA134" t="str">
            <v/>
          </cell>
          <cell r="BB134">
            <v>0</v>
          </cell>
          <cell r="BC134" t="str">
            <v/>
          </cell>
        </row>
        <row r="135">
          <cell r="AF135" t="str">
            <v/>
          </cell>
          <cell r="AG135" t="str">
            <v/>
          </cell>
          <cell r="AH135">
            <v>0</v>
          </cell>
          <cell r="AI135">
            <v>0</v>
          </cell>
          <cell r="AJ135" t="e">
            <v>#N/A</v>
          </cell>
          <cell r="AK135" t="e">
            <v>#N/A</v>
          </cell>
          <cell r="AL135" t="e">
            <v>#N/A</v>
          </cell>
          <cell r="AM135" t="str">
            <v/>
          </cell>
          <cell r="AN135">
            <v>0</v>
          </cell>
          <cell r="AO135" t="str">
            <v/>
          </cell>
          <cell r="AP135">
            <v>0</v>
          </cell>
          <cell r="AQ135" t="str">
            <v/>
          </cell>
          <cell r="AR135">
            <v>0</v>
          </cell>
          <cell r="AS135" t="str">
            <v/>
          </cell>
          <cell r="AT135" t="str">
            <v/>
          </cell>
          <cell r="AU135">
            <v>0</v>
          </cell>
          <cell r="AV135" t="str">
            <v/>
          </cell>
          <cell r="AW135" t="e">
            <v>#N/A</v>
          </cell>
          <cell r="AX135" t="e">
            <v>#N/A</v>
          </cell>
          <cell r="AY135" t="str">
            <v/>
          </cell>
          <cell r="AZ135">
            <v>0</v>
          </cell>
          <cell r="BA135" t="str">
            <v/>
          </cell>
          <cell r="BB135">
            <v>0</v>
          </cell>
          <cell r="BC135" t="str">
            <v/>
          </cell>
        </row>
        <row r="136">
          <cell r="AF136" t="str">
            <v/>
          </cell>
          <cell r="AG136" t="str">
            <v/>
          </cell>
          <cell r="AH136">
            <v>0</v>
          </cell>
          <cell r="AI136">
            <v>0</v>
          </cell>
          <cell r="AJ136" t="e">
            <v>#N/A</v>
          </cell>
          <cell r="AK136" t="e">
            <v>#N/A</v>
          </cell>
          <cell r="AL136" t="e">
            <v>#N/A</v>
          </cell>
          <cell r="AM136" t="str">
            <v/>
          </cell>
          <cell r="AN136">
            <v>0</v>
          </cell>
          <cell r="AO136" t="str">
            <v/>
          </cell>
          <cell r="AP136">
            <v>0</v>
          </cell>
          <cell r="AQ136" t="str">
            <v/>
          </cell>
          <cell r="AR136">
            <v>0</v>
          </cell>
          <cell r="AS136" t="str">
            <v/>
          </cell>
          <cell r="AT136" t="str">
            <v/>
          </cell>
          <cell r="AU136">
            <v>0</v>
          </cell>
          <cell r="AV136" t="str">
            <v/>
          </cell>
          <cell r="AW136" t="e">
            <v>#N/A</v>
          </cell>
          <cell r="AX136" t="e">
            <v>#N/A</v>
          </cell>
          <cell r="AY136" t="str">
            <v/>
          </cell>
          <cell r="AZ136">
            <v>0</v>
          </cell>
          <cell r="BA136" t="str">
            <v/>
          </cell>
          <cell r="BB136">
            <v>0</v>
          </cell>
          <cell r="BC136" t="str">
            <v/>
          </cell>
        </row>
        <row r="137">
          <cell r="AF137" t="str">
            <v/>
          </cell>
          <cell r="AG137" t="str">
            <v/>
          </cell>
          <cell r="AH137">
            <v>0</v>
          </cell>
          <cell r="AI137">
            <v>0</v>
          </cell>
          <cell r="AJ137" t="e">
            <v>#N/A</v>
          </cell>
          <cell r="AK137" t="e">
            <v>#N/A</v>
          </cell>
          <cell r="AL137" t="e">
            <v>#N/A</v>
          </cell>
          <cell r="AM137" t="str">
            <v/>
          </cell>
          <cell r="AN137">
            <v>0</v>
          </cell>
          <cell r="AO137" t="str">
            <v/>
          </cell>
          <cell r="AP137">
            <v>0</v>
          </cell>
          <cell r="AQ137" t="str">
            <v/>
          </cell>
          <cell r="AR137">
            <v>0</v>
          </cell>
          <cell r="AS137" t="str">
            <v/>
          </cell>
          <cell r="AT137" t="str">
            <v/>
          </cell>
          <cell r="AU137">
            <v>0</v>
          </cell>
          <cell r="AV137" t="str">
            <v/>
          </cell>
          <cell r="AW137" t="e">
            <v>#N/A</v>
          </cell>
          <cell r="AX137" t="e">
            <v>#N/A</v>
          </cell>
          <cell r="AY137" t="str">
            <v/>
          </cell>
          <cell r="AZ137">
            <v>0</v>
          </cell>
          <cell r="BA137" t="str">
            <v/>
          </cell>
          <cell r="BB137">
            <v>0</v>
          </cell>
          <cell r="BC137" t="str">
            <v/>
          </cell>
        </row>
        <row r="159">
          <cell r="F159">
            <v>0</v>
          </cell>
          <cell r="G159">
            <v>0</v>
          </cell>
          <cell r="H159">
            <v>0</v>
          </cell>
        </row>
        <row r="186">
          <cell r="G186">
            <v>0</v>
          </cell>
          <cell r="H186">
            <v>0</v>
          </cell>
          <cell r="I186">
            <v>0</v>
          </cell>
        </row>
        <row r="212">
          <cell r="G212">
            <v>0</v>
          </cell>
          <cell r="H212">
            <v>0</v>
          </cell>
          <cell r="I212">
            <v>0</v>
          </cell>
        </row>
        <row r="242">
          <cell r="G242">
            <v>0</v>
          </cell>
          <cell r="H242">
            <v>0</v>
          </cell>
          <cell r="I242">
            <v>0</v>
          </cell>
        </row>
        <row r="251">
          <cell r="F251">
            <v>0</v>
          </cell>
        </row>
      </sheetData>
      <sheetData sheetId="15" refreshError="1">
        <row r="123">
          <cell r="E123">
            <v>0</v>
          </cell>
        </row>
        <row r="152">
          <cell r="E152">
            <v>0</v>
          </cell>
        </row>
        <row r="153">
          <cell r="E153">
            <v>0</v>
          </cell>
        </row>
        <row r="167">
          <cell r="D167">
            <v>0</v>
          </cell>
          <cell r="E167">
            <v>0</v>
          </cell>
          <cell r="F167">
            <v>0</v>
          </cell>
        </row>
        <row r="176">
          <cell r="E176">
            <v>0</v>
          </cell>
          <cell r="F176">
            <v>0</v>
          </cell>
        </row>
      </sheetData>
      <sheetData sheetId="16" refreshError="1">
        <row r="109">
          <cell r="E109">
            <v>0</v>
          </cell>
        </row>
        <row r="110">
          <cell r="E110">
            <v>0</v>
          </cell>
        </row>
        <row r="120">
          <cell r="D120">
            <v>0</v>
          </cell>
          <cell r="E120">
            <v>0</v>
          </cell>
        </row>
      </sheetData>
      <sheetData sheetId="17" refreshError="1">
        <row r="71">
          <cell r="F71">
            <v>0</v>
          </cell>
          <cell r="G71">
            <v>0</v>
          </cell>
          <cell r="H71">
            <v>0</v>
          </cell>
        </row>
        <row r="105">
          <cell r="E105">
            <v>0</v>
          </cell>
          <cell r="F105">
            <v>0</v>
          </cell>
          <cell r="G105">
            <v>0</v>
          </cell>
        </row>
        <row r="139">
          <cell r="E139">
            <v>0</v>
          </cell>
          <cell r="F139">
            <v>0</v>
          </cell>
          <cell r="G139">
            <v>0</v>
          </cell>
        </row>
        <row r="171">
          <cell r="E171">
            <v>0</v>
          </cell>
          <cell r="F171">
            <v>0</v>
          </cell>
          <cell r="G171">
            <v>0</v>
          </cell>
        </row>
        <row r="179">
          <cell r="E179">
            <v>0</v>
          </cell>
        </row>
      </sheetData>
      <sheetData sheetId="18" refreshError="1">
        <row r="52">
          <cell r="AF52" t="str">
            <v/>
          </cell>
          <cell r="AG52" t="str">
            <v/>
          </cell>
          <cell r="AH52">
            <v>0</v>
          </cell>
          <cell r="AI52">
            <v>0</v>
          </cell>
          <cell r="AJ52" t="e">
            <v>#N/A</v>
          </cell>
          <cell r="AK52" t="e">
            <v>#N/A</v>
          </cell>
          <cell r="AL52" t="e">
            <v>#N/A</v>
          </cell>
          <cell r="AM52" t="str">
            <v/>
          </cell>
          <cell r="AN52">
            <v>0</v>
          </cell>
          <cell r="AO52" t="str">
            <v/>
          </cell>
          <cell r="AP52">
            <v>0</v>
          </cell>
          <cell r="AQ52" t="str">
            <v/>
          </cell>
          <cell r="AR52">
            <v>0</v>
          </cell>
          <cell r="AS52" t="str">
            <v/>
          </cell>
          <cell r="AT52" t="str">
            <v/>
          </cell>
          <cell r="AU52">
            <v>0</v>
          </cell>
          <cell r="AV52" t="e">
            <v>#N/A</v>
          </cell>
          <cell r="AW52" t="e">
            <v>#N/A</v>
          </cell>
          <cell r="AX52" t="e">
            <v>#N/A</v>
          </cell>
          <cell r="AY52" t="str">
            <v/>
          </cell>
          <cell r="AZ52">
            <v>0</v>
          </cell>
          <cell r="BA52" t="str">
            <v/>
          </cell>
          <cell r="BB52">
            <v>0</v>
          </cell>
          <cell r="BC52" t="str">
            <v/>
          </cell>
        </row>
        <row r="53">
          <cell r="AF53" t="str">
            <v/>
          </cell>
          <cell r="AG53" t="str">
            <v/>
          </cell>
          <cell r="AH53">
            <v>0</v>
          </cell>
          <cell r="AI53">
            <v>0</v>
          </cell>
          <cell r="AJ53" t="e">
            <v>#N/A</v>
          </cell>
          <cell r="AK53" t="e">
            <v>#N/A</v>
          </cell>
          <cell r="AL53" t="e">
            <v>#N/A</v>
          </cell>
          <cell r="AM53" t="str">
            <v/>
          </cell>
          <cell r="AN53">
            <v>0</v>
          </cell>
          <cell r="AO53" t="str">
            <v/>
          </cell>
          <cell r="AP53">
            <v>0</v>
          </cell>
          <cell r="AQ53" t="str">
            <v/>
          </cell>
          <cell r="AR53">
            <v>0</v>
          </cell>
          <cell r="AS53" t="str">
            <v/>
          </cell>
          <cell r="AT53" t="str">
            <v/>
          </cell>
          <cell r="AU53">
            <v>0</v>
          </cell>
          <cell r="AV53" t="e">
            <v>#N/A</v>
          </cell>
          <cell r="AW53" t="e">
            <v>#N/A</v>
          </cell>
          <cell r="AX53" t="e">
            <v>#N/A</v>
          </cell>
          <cell r="AY53" t="str">
            <v/>
          </cell>
          <cell r="AZ53">
            <v>0</v>
          </cell>
          <cell r="BA53" t="str">
            <v/>
          </cell>
          <cell r="BB53">
            <v>0</v>
          </cell>
          <cell r="BC53" t="str">
            <v/>
          </cell>
        </row>
        <row r="54">
          <cell r="AF54" t="str">
            <v/>
          </cell>
          <cell r="AG54" t="str">
            <v/>
          </cell>
          <cell r="AH54">
            <v>0</v>
          </cell>
          <cell r="AI54">
            <v>0</v>
          </cell>
          <cell r="AJ54" t="e">
            <v>#N/A</v>
          </cell>
          <cell r="AK54" t="e">
            <v>#N/A</v>
          </cell>
          <cell r="AL54" t="e">
            <v>#N/A</v>
          </cell>
          <cell r="AM54" t="str">
            <v/>
          </cell>
          <cell r="AN54">
            <v>0</v>
          </cell>
          <cell r="AO54" t="str">
            <v/>
          </cell>
          <cell r="AP54">
            <v>0</v>
          </cell>
          <cell r="AQ54" t="str">
            <v/>
          </cell>
          <cell r="AR54">
            <v>0</v>
          </cell>
          <cell r="AS54" t="str">
            <v/>
          </cell>
          <cell r="AT54" t="str">
            <v/>
          </cell>
          <cell r="AU54">
            <v>0</v>
          </cell>
          <cell r="AV54" t="e">
            <v>#N/A</v>
          </cell>
          <cell r="AW54" t="e">
            <v>#N/A</v>
          </cell>
          <cell r="AX54" t="e">
            <v>#N/A</v>
          </cell>
          <cell r="AY54" t="str">
            <v/>
          </cell>
          <cell r="AZ54">
            <v>0</v>
          </cell>
          <cell r="BA54" t="str">
            <v/>
          </cell>
          <cell r="BB54">
            <v>0</v>
          </cell>
          <cell r="BC54" t="str">
            <v/>
          </cell>
        </row>
        <row r="55">
          <cell r="AF55" t="str">
            <v/>
          </cell>
          <cell r="AG55" t="str">
            <v/>
          </cell>
          <cell r="AH55">
            <v>0</v>
          </cell>
          <cell r="AI55">
            <v>0</v>
          </cell>
          <cell r="AJ55" t="e">
            <v>#N/A</v>
          </cell>
          <cell r="AK55" t="e">
            <v>#N/A</v>
          </cell>
          <cell r="AL55" t="e">
            <v>#N/A</v>
          </cell>
          <cell r="AM55" t="str">
            <v/>
          </cell>
          <cell r="AN55">
            <v>0</v>
          </cell>
          <cell r="AO55" t="str">
            <v/>
          </cell>
          <cell r="AP55">
            <v>0</v>
          </cell>
          <cell r="AQ55" t="str">
            <v/>
          </cell>
          <cell r="AR55">
            <v>0</v>
          </cell>
          <cell r="AS55" t="str">
            <v/>
          </cell>
          <cell r="AT55" t="str">
            <v/>
          </cell>
          <cell r="AU55">
            <v>0</v>
          </cell>
          <cell r="AV55" t="e">
            <v>#N/A</v>
          </cell>
          <cell r="AW55" t="e">
            <v>#N/A</v>
          </cell>
          <cell r="AX55" t="e">
            <v>#N/A</v>
          </cell>
          <cell r="AY55" t="str">
            <v/>
          </cell>
          <cell r="AZ55">
            <v>0</v>
          </cell>
          <cell r="BA55" t="str">
            <v/>
          </cell>
          <cell r="BB55">
            <v>0</v>
          </cell>
          <cell r="BC55" t="str">
            <v/>
          </cell>
        </row>
        <row r="56">
          <cell r="AF56" t="str">
            <v/>
          </cell>
          <cell r="AG56" t="str">
            <v/>
          </cell>
          <cell r="AH56">
            <v>0</v>
          </cell>
          <cell r="AI56">
            <v>0</v>
          </cell>
          <cell r="AJ56" t="e">
            <v>#N/A</v>
          </cell>
          <cell r="AK56" t="e">
            <v>#N/A</v>
          </cell>
          <cell r="AL56" t="e">
            <v>#N/A</v>
          </cell>
          <cell r="AM56" t="str">
            <v/>
          </cell>
          <cell r="AN56">
            <v>0</v>
          </cell>
          <cell r="AO56" t="str">
            <v/>
          </cell>
          <cell r="AP56">
            <v>0</v>
          </cell>
          <cell r="AQ56" t="str">
            <v/>
          </cell>
          <cell r="AR56">
            <v>0</v>
          </cell>
          <cell r="AS56" t="str">
            <v/>
          </cell>
          <cell r="AT56" t="str">
            <v/>
          </cell>
          <cell r="AU56">
            <v>0</v>
          </cell>
          <cell r="AV56" t="e">
            <v>#N/A</v>
          </cell>
          <cell r="AW56" t="e">
            <v>#N/A</v>
          </cell>
          <cell r="AX56" t="e">
            <v>#N/A</v>
          </cell>
          <cell r="AY56" t="str">
            <v/>
          </cell>
          <cell r="AZ56">
            <v>0</v>
          </cell>
          <cell r="BA56" t="str">
            <v/>
          </cell>
          <cell r="BB56">
            <v>0</v>
          </cell>
          <cell r="BC56" t="str">
            <v/>
          </cell>
        </row>
        <row r="57">
          <cell r="AF57" t="str">
            <v/>
          </cell>
          <cell r="AG57" t="str">
            <v/>
          </cell>
          <cell r="AH57">
            <v>0</v>
          </cell>
          <cell r="AI57">
            <v>0</v>
          </cell>
          <cell r="AJ57" t="e">
            <v>#N/A</v>
          </cell>
          <cell r="AK57" t="e">
            <v>#N/A</v>
          </cell>
          <cell r="AL57" t="e">
            <v>#N/A</v>
          </cell>
          <cell r="AM57" t="str">
            <v/>
          </cell>
          <cell r="AN57">
            <v>0</v>
          </cell>
          <cell r="AO57" t="str">
            <v/>
          </cell>
          <cell r="AP57">
            <v>0</v>
          </cell>
          <cell r="AQ57" t="str">
            <v/>
          </cell>
          <cell r="AR57">
            <v>0</v>
          </cell>
          <cell r="AS57" t="str">
            <v/>
          </cell>
          <cell r="AT57" t="str">
            <v/>
          </cell>
          <cell r="AU57">
            <v>0</v>
          </cell>
          <cell r="AV57" t="e">
            <v>#N/A</v>
          </cell>
          <cell r="AW57" t="e">
            <v>#N/A</v>
          </cell>
          <cell r="AX57" t="e">
            <v>#N/A</v>
          </cell>
          <cell r="AY57" t="str">
            <v/>
          </cell>
          <cell r="AZ57">
            <v>0</v>
          </cell>
          <cell r="BA57" t="str">
            <v/>
          </cell>
          <cell r="BB57">
            <v>0</v>
          </cell>
          <cell r="BC57" t="str">
            <v/>
          </cell>
        </row>
        <row r="58">
          <cell r="AF58" t="str">
            <v/>
          </cell>
          <cell r="AG58" t="str">
            <v/>
          </cell>
          <cell r="AH58">
            <v>0</v>
          </cell>
          <cell r="AI58">
            <v>0</v>
          </cell>
          <cell r="AJ58" t="e">
            <v>#N/A</v>
          </cell>
          <cell r="AK58" t="e">
            <v>#N/A</v>
          </cell>
          <cell r="AL58" t="e">
            <v>#N/A</v>
          </cell>
          <cell r="AM58" t="str">
            <v/>
          </cell>
          <cell r="AN58">
            <v>0</v>
          </cell>
          <cell r="AO58" t="str">
            <v/>
          </cell>
          <cell r="AP58">
            <v>0</v>
          </cell>
          <cell r="AQ58" t="str">
            <v/>
          </cell>
          <cell r="AR58">
            <v>0</v>
          </cell>
          <cell r="AS58" t="str">
            <v/>
          </cell>
          <cell r="AT58" t="str">
            <v/>
          </cell>
          <cell r="AU58">
            <v>0</v>
          </cell>
          <cell r="AV58" t="e">
            <v>#N/A</v>
          </cell>
          <cell r="AW58" t="e">
            <v>#N/A</v>
          </cell>
          <cell r="AX58" t="e">
            <v>#N/A</v>
          </cell>
          <cell r="AY58" t="str">
            <v/>
          </cell>
          <cell r="AZ58">
            <v>0</v>
          </cell>
          <cell r="BA58" t="str">
            <v/>
          </cell>
          <cell r="BB58">
            <v>0</v>
          </cell>
          <cell r="BC58" t="str">
            <v/>
          </cell>
        </row>
        <row r="59">
          <cell r="AF59" t="str">
            <v/>
          </cell>
          <cell r="AG59" t="str">
            <v/>
          </cell>
          <cell r="AH59">
            <v>0</v>
          </cell>
          <cell r="AI59">
            <v>0</v>
          </cell>
          <cell r="AJ59" t="e">
            <v>#N/A</v>
          </cell>
          <cell r="AK59" t="e">
            <v>#N/A</v>
          </cell>
          <cell r="AL59" t="e">
            <v>#N/A</v>
          </cell>
          <cell r="AM59" t="str">
            <v/>
          </cell>
          <cell r="AN59">
            <v>0</v>
          </cell>
          <cell r="AO59" t="str">
            <v/>
          </cell>
          <cell r="AP59">
            <v>0</v>
          </cell>
          <cell r="AQ59" t="str">
            <v/>
          </cell>
          <cell r="AR59">
            <v>0</v>
          </cell>
          <cell r="AS59" t="str">
            <v/>
          </cell>
          <cell r="AT59" t="str">
            <v/>
          </cell>
          <cell r="AU59">
            <v>0</v>
          </cell>
          <cell r="AV59" t="e">
            <v>#N/A</v>
          </cell>
          <cell r="AW59" t="e">
            <v>#N/A</v>
          </cell>
          <cell r="AX59" t="e">
            <v>#N/A</v>
          </cell>
          <cell r="AY59" t="str">
            <v/>
          </cell>
          <cell r="AZ59">
            <v>0</v>
          </cell>
          <cell r="BA59" t="str">
            <v/>
          </cell>
          <cell r="BB59">
            <v>0</v>
          </cell>
          <cell r="BC59" t="str">
            <v/>
          </cell>
        </row>
        <row r="60">
          <cell r="AF60" t="str">
            <v/>
          </cell>
          <cell r="AG60" t="str">
            <v/>
          </cell>
          <cell r="AH60">
            <v>0</v>
          </cell>
          <cell r="AI60">
            <v>0</v>
          </cell>
          <cell r="AJ60" t="e">
            <v>#N/A</v>
          </cell>
          <cell r="AK60" t="e">
            <v>#N/A</v>
          </cell>
          <cell r="AL60" t="e">
            <v>#N/A</v>
          </cell>
          <cell r="AM60" t="str">
            <v/>
          </cell>
          <cell r="AN60">
            <v>0</v>
          </cell>
          <cell r="AO60" t="str">
            <v/>
          </cell>
          <cell r="AP60">
            <v>0</v>
          </cell>
          <cell r="AQ60" t="str">
            <v/>
          </cell>
          <cell r="AR60">
            <v>0</v>
          </cell>
          <cell r="AS60" t="str">
            <v/>
          </cell>
          <cell r="AT60" t="str">
            <v/>
          </cell>
          <cell r="AU60">
            <v>0</v>
          </cell>
          <cell r="AV60" t="e">
            <v>#N/A</v>
          </cell>
          <cell r="AW60" t="e">
            <v>#N/A</v>
          </cell>
          <cell r="AX60" t="e">
            <v>#N/A</v>
          </cell>
          <cell r="AY60" t="str">
            <v/>
          </cell>
          <cell r="AZ60">
            <v>0</v>
          </cell>
          <cell r="BA60" t="str">
            <v/>
          </cell>
          <cell r="BB60">
            <v>0</v>
          </cell>
          <cell r="BC60" t="str">
            <v/>
          </cell>
        </row>
        <row r="61">
          <cell r="AF61" t="str">
            <v/>
          </cell>
          <cell r="AG61" t="str">
            <v/>
          </cell>
          <cell r="AH61">
            <v>0</v>
          </cell>
          <cell r="AI61">
            <v>0</v>
          </cell>
          <cell r="AJ61" t="e">
            <v>#N/A</v>
          </cell>
          <cell r="AK61" t="e">
            <v>#N/A</v>
          </cell>
          <cell r="AL61" t="e">
            <v>#N/A</v>
          </cell>
          <cell r="AM61" t="str">
            <v/>
          </cell>
          <cell r="AN61">
            <v>0</v>
          </cell>
          <cell r="AO61" t="str">
            <v/>
          </cell>
          <cell r="AP61">
            <v>0</v>
          </cell>
          <cell r="AQ61" t="str">
            <v/>
          </cell>
          <cell r="AR61">
            <v>0</v>
          </cell>
          <cell r="AS61" t="str">
            <v/>
          </cell>
          <cell r="AT61" t="str">
            <v/>
          </cell>
          <cell r="AU61">
            <v>0</v>
          </cell>
          <cell r="AV61" t="e">
            <v>#N/A</v>
          </cell>
          <cell r="AW61" t="e">
            <v>#N/A</v>
          </cell>
          <cell r="AX61" t="e">
            <v>#N/A</v>
          </cell>
          <cell r="AY61" t="str">
            <v/>
          </cell>
          <cell r="AZ61">
            <v>0</v>
          </cell>
          <cell r="BA61" t="str">
            <v/>
          </cell>
          <cell r="BB61">
            <v>0</v>
          </cell>
          <cell r="BC61" t="str">
            <v/>
          </cell>
        </row>
        <row r="62">
          <cell r="AF62" t="str">
            <v/>
          </cell>
          <cell r="AG62" t="str">
            <v/>
          </cell>
          <cell r="AH62">
            <v>0</v>
          </cell>
          <cell r="AI62">
            <v>0</v>
          </cell>
          <cell r="AJ62" t="e">
            <v>#N/A</v>
          </cell>
          <cell r="AK62" t="e">
            <v>#N/A</v>
          </cell>
          <cell r="AL62" t="e">
            <v>#N/A</v>
          </cell>
          <cell r="AM62" t="str">
            <v/>
          </cell>
          <cell r="AN62">
            <v>0</v>
          </cell>
          <cell r="AO62" t="str">
            <v/>
          </cell>
          <cell r="AP62">
            <v>0</v>
          </cell>
          <cell r="AQ62" t="str">
            <v/>
          </cell>
          <cell r="AR62">
            <v>0</v>
          </cell>
          <cell r="AS62" t="str">
            <v/>
          </cell>
          <cell r="AT62" t="str">
            <v/>
          </cell>
          <cell r="AU62">
            <v>0</v>
          </cell>
          <cell r="AV62" t="e">
            <v>#N/A</v>
          </cell>
          <cell r="AW62" t="e">
            <v>#N/A</v>
          </cell>
          <cell r="AX62" t="e">
            <v>#N/A</v>
          </cell>
          <cell r="AY62" t="str">
            <v/>
          </cell>
          <cell r="AZ62">
            <v>0</v>
          </cell>
          <cell r="BA62" t="str">
            <v/>
          </cell>
          <cell r="BB62">
            <v>0</v>
          </cell>
          <cell r="BC62" t="str">
            <v/>
          </cell>
        </row>
        <row r="63">
          <cell r="AF63" t="str">
            <v/>
          </cell>
          <cell r="AG63" t="str">
            <v/>
          </cell>
          <cell r="AH63">
            <v>0</v>
          </cell>
          <cell r="AI63">
            <v>0</v>
          </cell>
          <cell r="AJ63" t="e">
            <v>#N/A</v>
          </cell>
          <cell r="AK63" t="e">
            <v>#N/A</v>
          </cell>
          <cell r="AL63" t="e">
            <v>#N/A</v>
          </cell>
          <cell r="AM63" t="str">
            <v/>
          </cell>
          <cell r="AN63">
            <v>0</v>
          </cell>
          <cell r="AO63" t="str">
            <v/>
          </cell>
          <cell r="AP63">
            <v>0</v>
          </cell>
          <cell r="AQ63" t="str">
            <v/>
          </cell>
          <cell r="AR63">
            <v>0</v>
          </cell>
          <cell r="AS63" t="str">
            <v/>
          </cell>
          <cell r="AT63" t="str">
            <v/>
          </cell>
          <cell r="AU63">
            <v>0</v>
          </cell>
          <cell r="AV63" t="e">
            <v>#N/A</v>
          </cell>
          <cell r="AW63" t="e">
            <v>#N/A</v>
          </cell>
          <cell r="AX63" t="e">
            <v>#N/A</v>
          </cell>
          <cell r="AY63" t="str">
            <v/>
          </cell>
          <cell r="AZ63">
            <v>0</v>
          </cell>
          <cell r="BA63" t="str">
            <v/>
          </cell>
          <cell r="BB63">
            <v>0</v>
          </cell>
          <cell r="BC63" t="str">
            <v/>
          </cell>
        </row>
        <row r="64">
          <cell r="AF64" t="str">
            <v/>
          </cell>
          <cell r="AG64" t="str">
            <v/>
          </cell>
          <cell r="AH64">
            <v>0</v>
          </cell>
          <cell r="AI64">
            <v>0</v>
          </cell>
          <cell r="AJ64" t="e">
            <v>#N/A</v>
          </cell>
          <cell r="AK64" t="e">
            <v>#N/A</v>
          </cell>
          <cell r="AL64" t="e">
            <v>#N/A</v>
          </cell>
          <cell r="AM64" t="str">
            <v/>
          </cell>
          <cell r="AN64">
            <v>0</v>
          </cell>
          <cell r="AO64" t="str">
            <v/>
          </cell>
          <cell r="AP64">
            <v>0</v>
          </cell>
          <cell r="AQ64" t="str">
            <v/>
          </cell>
          <cell r="AR64">
            <v>0</v>
          </cell>
          <cell r="AS64" t="str">
            <v/>
          </cell>
          <cell r="AT64" t="str">
            <v/>
          </cell>
          <cell r="AU64">
            <v>0</v>
          </cell>
          <cell r="AV64" t="e">
            <v>#N/A</v>
          </cell>
          <cell r="AW64" t="e">
            <v>#N/A</v>
          </cell>
          <cell r="AX64" t="e">
            <v>#N/A</v>
          </cell>
          <cell r="AY64" t="str">
            <v/>
          </cell>
          <cell r="AZ64">
            <v>0</v>
          </cell>
          <cell r="BA64" t="str">
            <v/>
          </cell>
          <cell r="BB64">
            <v>0</v>
          </cell>
          <cell r="BC64" t="str">
            <v/>
          </cell>
        </row>
        <row r="65">
          <cell r="AF65" t="str">
            <v/>
          </cell>
          <cell r="AG65" t="str">
            <v/>
          </cell>
          <cell r="AH65">
            <v>0</v>
          </cell>
          <cell r="AI65">
            <v>0</v>
          </cell>
          <cell r="AJ65" t="e">
            <v>#N/A</v>
          </cell>
          <cell r="AK65" t="e">
            <v>#N/A</v>
          </cell>
          <cell r="AL65" t="e">
            <v>#N/A</v>
          </cell>
          <cell r="AM65" t="str">
            <v/>
          </cell>
          <cell r="AN65">
            <v>0</v>
          </cell>
          <cell r="AO65" t="str">
            <v/>
          </cell>
          <cell r="AP65">
            <v>0</v>
          </cell>
          <cell r="AQ65" t="str">
            <v/>
          </cell>
          <cell r="AR65">
            <v>0</v>
          </cell>
          <cell r="AS65" t="str">
            <v/>
          </cell>
          <cell r="AT65" t="str">
            <v/>
          </cell>
          <cell r="AU65">
            <v>0</v>
          </cell>
          <cell r="AV65" t="e">
            <v>#N/A</v>
          </cell>
          <cell r="AW65" t="e">
            <v>#N/A</v>
          </cell>
          <cell r="AX65" t="e">
            <v>#N/A</v>
          </cell>
          <cell r="AY65" t="str">
            <v/>
          </cell>
          <cell r="AZ65">
            <v>0</v>
          </cell>
          <cell r="BA65" t="str">
            <v/>
          </cell>
          <cell r="BB65">
            <v>0</v>
          </cell>
          <cell r="BC65" t="str">
            <v/>
          </cell>
        </row>
        <row r="66">
          <cell r="AF66" t="str">
            <v/>
          </cell>
          <cell r="AG66" t="str">
            <v/>
          </cell>
          <cell r="AH66">
            <v>0</v>
          </cell>
          <cell r="AI66">
            <v>0</v>
          </cell>
          <cell r="AJ66" t="e">
            <v>#N/A</v>
          </cell>
          <cell r="AK66" t="e">
            <v>#N/A</v>
          </cell>
          <cell r="AL66" t="e">
            <v>#N/A</v>
          </cell>
          <cell r="AM66" t="str">
            <v/>
          </cell>
          <cell r="AN66">
            <v>0</v>
          </cell>
          <cell r="AO66" t="str">
            <v/>
          </cell>
          <cell r="AP66">
            <v>0</v>
          </cell>
          <cell r="AQ66" t="str">
            <v/>
          </cell>
          <cell r="AR66">
            <v>0</v>
          </cell>
          <cell r="AS66" t="str">
            <v/>
          </cell>
          <cell r="AT66" t="str">
            <v/>
          </cell>
          <cell r="AU66">
            <v>0</v>
          </cell>
          <cell r="AV66" t="e">
            <v>#N/A</v>
          </cell>
          <cell r="AW66" t="e">
            <v>#N/A</v>
          </cell>
          <cell r="AX66" t="e">
            <v>#N/A</v>
          </cell>
          <cell r="AY66" t="str">
            <v/>
          </cell>
          <cell r="AZ66">
            <v>0</v>
          </cell>
          <cell r="BA66" t="str">
            <v/>
          </cell>
          <cell r="BB66">
            <v>0</v>
          </cell>
          <cell r="BC66" t="str">
            <v/>
          </cell>
        </row>
        <row r="67">
          <cell r="AF67" t="str">
            <v/>
          </cell>
          <cell r="AG67" t="str">
            <v/>
          </cell>
          <cell r="AH67">
            <v>0</v>
          </cell>
          <cell r="AI67">
            <v>0</v>
          </cell>
          <cell r="AJ67" t="e">
            <v>#N/A</v>
          </cell>
          <cell r="AK67" t="e">
            <v>#N/A</v>
          </cell>
          <cell r="AL67" t="e">
            <v>#N/A</v>
          </cell>
          <cell r="AM67" t="str">
            <v/>
          </cell>
          <cell r="AN67">
            <v>0</v>
          </cell>
          <cell r="AO67" t="str">
            <v/>
          </cell>
          <cell r="AP67">
            <v>0</v>
          </cell>
          <cell r="AQ67" t="str">
            <v/>
          </cell>
          <cell r="AR67">
            <v>0</v>
          </cell>
          <cell r="AS67" t="str">
            <v/>
          </cell>
          <cell r="AT67" t="str">
            <v/>
          </cell>
          <cell r="AU67">
            <v>0</v>
          </cell>
          <cell r="AV67" t="e">
            <v>#N/A</v>
          </cell>
          <cell r="AW67" t="e">
            <v>#N/A</v>
          </cell>
          <cell r="AX67" t="e">
            <v>#N/A</v>
          </cell>
          <cell r="AY67" t="str">
            <v/>
          </cell>
          <cell r="AZ67">
            <v>0</v>
          </cell>
          <cell r="BA67" t="str">
            <v/>
          </cell>
          <cell r="BB67">
            <v>0</v>
          </cell>
          <cell r="BC67" t="str">
            <v/>
          </cell>
        </row>
        <row r="68">
          <cell r="AF68" t="str">
            <v/>
          </cell>
          <cell r="AG68" t="str">
            <v/>
          </cell>
          <cell r="AH68">
            <v>0</v>
          </cell>
          <cell r="AI68">
            <v>0</v>
          </cell>
          <cell r="AJ68" t="e">
            <v>#N/A</v>
          </cell>
          <cell r="AK68" t="e">
            <v>#N/A</v>
          </cell>
          <cell r="AL68" t="e">
            <v>#N/A</v>
          </cell>
          <cell r="AM68" t="str">
            <v/>
          </cell>
          <cell r="AN68">
            <v>0</v>
          </cell>
          <cell r="AO68" t="str">
            <v/>
          </cell>
          <cell r="AP68">
            <v>0</v>
          </cell>
          <cell r="AQ68" t="str">
            <v/>
          </cell>
          <cell r="AR68">
            <v>0</v>
          </cell>
          <cell r="AS68" t="str">
            <v/>
          </cell>
          <cell r="AT68" t="str">
            <v/>
          </cell>
          <cell r="AU68">
            <v>0</v>
          </cell>
          <cell r="AV68" t="e">
            <v>#N/A</v>
          </cell>
          <cell r="AW68" t="e">
            <v>#N/A</v>
          </cell>
          <cell r="AX68" t="e">
            <v>#N/A</v>
          </cell>
          <cell r="AY68" t="str">
            <v/>
          </cell>
          <cell r="AZ68">
            <v>0</v>
          </cell>
          <cell r="BA68" t="str">
            <v/>
          </cell>
          <cell r="BB68">
            <v>0</v>
          </cell>
          <cell r="BC68" t="str">
            <v/>
          </cell>
        </row>
        <row r="69">
          <cell r="AF69" t="str">
            <v/>
          </cell>
          <cell r="AG69" t="str">
            <v/>
          </cell>
          <cell r="AH69">
            <v>0</v>
          </cell>
          <cell r="AI69">
            <v>0</v>
          </cell>
          <cell r="AJ69" t="e">
            <v>#N/A</v>
          </cell>
          <cell r="AK69" t="e">
            <v>#N/A</v>
          </cell>
          <cell r="AL69" t="e">
            <v>#N/A</v>
          </cell>
          <cell r="AM69" t="str">
            <v/>
          </cell>
          <cell r="AN69">
            <v>0</v>
          </cell>
          <cell r="AO69" t="str">
            <v/>
          </cell>
          <cell r="AP69">
            <v>0</v>
          </cell>
          <cell r="AQ69" t="str">
            <v/>
          </cell>
          <cell r="AR69">
            <v>0</v>
          </cell>
          <cell r="AS69" t="str">
            <v/>
          </cell>
          <cell r="AT69" t="str">
            <v/>
          </cell>
          <cell r="AU69">
            <v>0</v>
          </cell>
          <cell r="AV69" t="e">
            <v>#N/A</v>
          </cell>
          <cell r="AW69" t="e">
            <v>#N/A</v>
          </cell>
          <cell r="AX69" t="e">
            <v>#N/A</v>
          </cell>
          <cell r="AY69" t="str">
            <v/>
          </cell>
          <cell r="AZ69">
            <v>0</v>
          </cell>
          <cell r="BA69" t="str">
            <v/>
          </cell>
          <cell r="BB69">
            <v>0</v>
          </cell>
          <cell r="BC69" t="str">
            <v/>
          </cell>
        </row>
        <row r="70">
          <cell r="AF70" t="str">
            <v/>
          </cell>
          <cell r="AG70" t="str">
            <v/>
          </cell>
          <cell r="AH70">
            <v>0</v>
          </cell>
          <cell r="AI70">
            <v>0</v>
          </cell>
          <cell r="AJ70" t="e">
            <v>#N/A</v>
          </cell>
          <cell r="AK70" t="e">
            <v>#N/A</v>
          </cell>
          <cell r="AL70" t="e">
            <v>#N/A</v>
          </cell>
          <cell r="AM70" t="str">
            <v/>
          </cell>
          <cell r="AN70">
            <v>0</v>
          </cell>
          <cell r="AO70" t="str">
            <v/>
          </cell>
          <cell r="AP70">
            <v>0</v>
          </cell>
          <cell r="AQ70" t="str">
            <v/>
          </cell>
          <cell r="AR70">
            <v>0</v>
          </cell>
          <cell r="AS70" t="str">
            <v/>
          </cell>
          <cell r="AT70" t="str">
            <v/>
          </cell>
          <cell r="AU70">
            <v>0</v>
          </cell>
          <cell r="AV70" t="e">
            <v>#N/A</v>
          </cell>
          <cell r="AW70" t="e">
            <v>#N/A</v>
          </cell>
          <cell r="AX70" t="e">
            <v>#N/A</v>
          </cell>
          <cell r="AY70" t="str">
            <v/>
          </cell>
          <cell r="AZ70">
            <v>0</v>
          </cell>
          <cell r="BA70" t="str">
            <v/>
          </cell>
          <cell r="BB70">
            <v>0</v>
          </cell>
          <cell r="BC70" t="str">
            <v/>
          </cell>
        </row>
        <row r="71">
          <cell r="AF71" t="str">
            <v/>
          </cell>
          <cell r="AG71" t="str">
            <v/>
          </cell>
          <cell r="AH71">
            <v>0</v>
          </cell>
          <cell r="AI71">
            <v>0</v>
          </cell>
          <cell r="AJ71" t="e">
            <v>#N/A</v>
          </cell>
          <cell r="AK71" t="e">
            <v>#N/A</v>
          </cell>
          <cell r="AL71" t="e">
            <v>#N/A</v>
          </cell>
          <cell r="AM71" t="str">
            <v/>
          </cell>
          <cell r="AN71">
            <v>0</v>
          </cell>
          <cell r="AO71" t="str">
            <v/>
          </cell>
          <cell r="AP71">
            <v>0</v>
          </cell>
          <cell r="AQ71" t="str">
            <v/>
          </cell>
          <cell r="AR71">
            <v>0</v>
          </cell>
          <cell r="AS71" t="str">
            <v/>
          </cell>
          <cell r="AT71" t="str">
            <v/>
          </cell>
          <cell r="AU71">
            <v>0</v>
          </cell>
          <cell r="AV71" t="e">
            <v>#N/A</v>
          </cell>
          <cell r="AW71" t="e">
            <v>#N/A</v>
          </cell>
          <cell r="AX71" t="e">
            <v>#N/A</v>
          </cell>
          <cell r="AY71" t="str">
            <v/>
          </cell>
          <cell r="AZ71">
            <v>0</v>
          </cell>
          <cell r="BA71" t="str">
            <v/>
          </cell>
          <cell r="BB71">
            <v>0</v>
          </cell>
          <cell r="BC71" t="str">
            <v/>
          </cell>
        </row>
        <row r="72">
          <cell r="AF72" t="str">
            <v/>
          </cell>
          <cell r="AG72" t="str">
            <v/>
          </cell>
          <cell r="AH72">
            <v>0</v>
          </cell>
          <cell r="AI72">
            <v>0</v>
          </cell>
          <cell r="AJ72" t="e">
            <v>#N/A</v>
          </cell>
          <cell r="AK72" t="e">
            <v>#N/A</v>
          </cell>
          <cell r="AL72" t="e">
            <v>#N/A</v>
          </cell>
          <cell r="AM72" t="str">
            <v/>
          </cell>
          <cell r="AN72">
            <v>0</v>
          </cell>
          <cell r="AO72" t="str">
            <v/>
          </cell>
          <cell r="AP72">
            <v>0</v>
          </cell>
          <cell r="AQ72" t="str">
            <v/>
          </cell>
          <cell r="AR72">
            <v>0</v>
          </cell>
          <cell r="AS72" t="str">
            <v/>
          </cell>
          <cell r="AT72" t="str">
            <v/>
          </cell>
          <cell r="AU72">
            <v>0</v>
          </cell>
          <cell r="AV72" t="e">
            <v>#N/A</v>
          </cell>
          <cell r="AW72" t="e">
            <v>#N/A</v>
          </cell>
          <cell r="AX72" t="e">
            <v>#N/A</v>
          </cell>
          <cell r="AY72" t="str">
            <v/>
          </cell>
          <cell r="AZ72">
            <v>0</v>
          </cell>
          <cell r="BA72" t="str">
            <v/>
          </cell>
          <cell r="BB72">
            <v>0</v>
          </cell>
          <cell r="BC72" t="str">
            <v/>
          </cell>
        </row>
        <row r="73">
          <cell r="AF73" t="str">
            <v/>
          </cell>
          <cell r="AG73" t="str">
            <v/>
          </cell>
          <cell r="AH73">
            <v>0</v>
          </cell>
          <cell r="AI73">
            <v>0</v>
          </cell>
          <cell r="AJ73" t="e">
            <v>#N/A</v>
          </cell>
          <cell r="AK73" t="e">
            <v>#N/A</v>
          </cell>
          <cell r="AL73" t="e">
            <v>#N/A</v>
          </cell>
          <cell r="AM73" t="str">
            <v/>
          </cell>
          <cell r="AN73">
            <v>0</v>
          </cell>
          <cell r="AO73" t="str">
            <v/>
          </cell>
          <cell r="AP73">
            <v>0</v>
          </cell>
          <cell r="AQ73" t="str">
            <v/>
          </cell>
          <cell r="AR73">
            <v>0</v>
          </cell>
          <cell r="AS73" t="str">
            <v/>
          </cell>
          <cell r="AT73" t="str">
            <v/>
          </cell>
          <cell r="AU73">
            <v>0</v>
          </cell>
          <cell r="AV73" t="e">
            <v>#N/A</v>
          </cell>
          <cell r="AW73" t="e">
            <v>#N/A</v>
          </cell>
          <cell r="AX73" t="e">
            <v>#N/A</v>
          </cell>
          <cell r="AY73" t="str">
            <v/>
          </cell>
          <cell r="AZ73">
            <v>0</v>
          </cell>
          <cell r="BA73" t="str">
            <v/>
          </cell>
          <cell r="BB73">
            <v>0</v>
          </cell>
          <cell r="BC73" t="str">
            <v/>
          </cell>
        </row>
        <row r="74">
          <cell r="AF74" t="str">
            <v/>
          </cell>
          <cell r="AG74" t="str">
            <v/>
          </cell>
          <cell r="AH74">
            <v>0</v>
          </cell>
          <cell r="AI74">
            <v>0</v>
          </cell>
          <cell r="AJ74" t="e">
            <v>#N/A</v>
          </cell>
          <cell r="AK74" t="e">
            <v>#N/A</v>
          </cell>
          <cell r="AL74" t="e">
            <v>#N/A</v>
          </cell>
          <cell r="AM74" t="str">
            <v/>
          </cell>
          <cell r="AN74">
            <v>0</v>
          </cell>
          <cell r="AO74" t="str">
            <v/>
          </cell>
          <cell r="AP74">
            <v>0</v>
          </cell>
          <cell r="AQ74" t="str">
            <v/>
          </cell>
          <cell r="AR74">
            <v>0</v>
          </cell>
          <cell r="AS74" t="str">
            <v/>
          </cell>
          <cell r="AT74" t="str">
            <v/>
          </cell>
          <cell r="AU74">
            <v>0</v>
          </cell>
          <cell r="AV74" t="e">
            <v>#N/A</v>
          </cell>
          <cell r="AW74" t="e">
            <v>#N/A</v>
          </cell>
          <cell r="AX74" t="e">
            <v>#N/A</v>
          </cell>
          <cell r="AY74" t="str">
            <v/>
          </cell>
          <cell r="AZ74">
            <v>0</v>
          </cell>
          <cell r="BA74" t="str">
            <v/>
          </cell>
          <cell r="BB74">
            <v>0</v>
          </cell>
          <cell r="BC74" t="str">
            <v/>
          </cell>
        </row>
        <row r="75">
          <cell r="AF75" t="str">
            <v/>
          </cell>
          <cell r="AG75" t="str">
            <v/>
          </cell>
          <cell r="AH75">
            <v>0</v>
          </cell>
          <cell r="AI75">
            <v>0</v>
          </cell>
          <cell r="AJ75" t="e">
            <v>#N/A</v>
          </cell>
          <cell r="AK75" t="e">
            <v>#N/A</v>
          </cell>
          <cell r="AL75" t="e">
            <v>#N/A</v>
          </cell>
          <cell r="AM75" t="str">
            <v/>
          </cell>
          <cell r="AN75">
            <v>0</v>
          </cell>
          <cell r="AO75" t="str">
            <v/>
          </cell>
          <cell r="AP75">
            <v>0</v>
          </cell>
          <cell r="AQ75" t="str">
            <v/>
          </cell>
          <cell r="AR75">
            <v>0</v>
          </cell>
          <cell r="AS75" t="str">
            <v/>
          </cell>
          <cell r="AT75" t="str">
            <v/>
          </cell>
          <cell r="AU75">
            <v>0</v>
          </cell>
          <cell r="AV75" t="e">
            <v>#N/A</v>
          </cell>
          <cell r="AW75" t="e">
            <v>#N/A</v>
          </cell>
          <cell r="AX75" t="e">
            <v>#N/A</v>
          </cell>
          <cell r="AY75" t="str">
            <v/>
          </cell>
          <cell r="AZ75">
            <v>0</v>
          </cell>
          <cell r="BA75" t="str">
            <v/>
          </cell>
          <cell r="BB75">
            <v>0</v>
          </cell>
          <cell r="BC75" t="str">
            <v/>
          </cell>
        </row>
        <row r="76">
          <cell r="AF76" t="str">
            <v/>
          </cell>
          <cell r="AG76" t="str">
            <v/>
          </cell>
          <cell r="AH76">
            <v>0</v>
          </cell>
          <cell r="AI76">
            <v>0</v>
          </cell>
          <cell r="AJ76" t="e">
            <v>#N/A</v>
          </cell>
          <cell r="AK76" t="e">
            <v>#N/A</v>
          </cell>
          <cell r="AL76" t="e">
            <v>#N/A</v>
          </cell>
          <cell r="AM76" t="str">
            <v/>
          </cell>
          <cell r="AN76">
            <v>0</v>
          </cell>
          <cell r="AO76" t="str">
            <v/>
          </cell>
          <cell r="AP76">
            <v>0</v>
          </cell>
          <cell r="AQ76" t="str">
            <v/>
          </cell>
          <cell r="AR76">
            <v>0</v>
          </cell>
          <cell r="AS76" t="str">
            <v/>
          </cell>
          <cell r="AT76" t="str">
            <v/>
          </cell>
          <cell r="AU76">
            <v>0</v>
          </cell>
          <cell r="AV76" t="e">
            <v>#N/A</v>
          </cell>
          <cell r="AW76" t="e">
            <v>#N/A</v>
          </cell>
          <cell r="AX76" t="e">
            <v>#N/A</v>
          </cell>
          <cell r="AY76" t="str">
            <v/>
          </cell>
          <cell r="AZ76">
            <v>0</v>
          </cell>
          <cell r="BA76" t="str">
            <v/>
          </cell>
          <cell r="BB76">
            <v>0</v>
          </cell>
          <cell r="BC76" t="str">
            <v/>
          </cell>
        </row>
        <row r="77">
          <cell r="AF77" t="str">
            <v/>
          </cell>
          <cell r="AG77" t="str">
            <v/>
          </cell>
          <cell r="AH77">
            <v>0</v>
          </cell>
          <cell r="AI77">
            <v>0</v>
          </cell>
          <cell r="AJ77" t="e">
            <v>#N/A</v>
          </cell>
          <cell r="AK77" t="e">
            <v>#N/A</v>
          </cell>
          <cell r="AL77" t="e">
            <v>#N/A</v>
          </cell>
          <cell r="AM77" t="str">
            <v/>
          </cell>
          <cell r="AN77">
            <v>0</v>
          </cell>
          <cell r="AO77" t="str">
            <v/>
          </cell>
          <cell r="AP77">
            <v>0</v>
          </cell>
          <cell r="AQ77" t="str">
            <v/>
          </cell>
          <cell r="AR77">
            <v>0</v>
          </cell>
          <cell r="AS77" t="str">
            <v/>
          </cell>
          <cell r="AT77" t="str">
            <v/>
          </cell>
          <cell r="AU77">
            <v>0</v>
          </cell>
          <cell r="AV77" t="e">
            <v>#N/A</v>
          </cell>
          <cell r="AW77" t="e">
            <v>#N/A</v>
          </cell>
          <cell r="AX77" t="e">
            <v>#N/A</v>
          </cell>
          <cell r="AY77" t="str">
            <v/>
          </cell>
          <cell r="AZ77">
            <v>0</v>
          </cell>
          <cell r="BA77" t="str">
            <v/>
          </cell>
          <cell r="BB77">
            <v>0</v>
          </cell>
          <cell r="BC77" t="str">
            <v/>
          </cell>
        </row>
        <row r="78">
          <cell r="AF78" t="str">
            <v/>
          </cell>
          <cell r="AG78" t="str">
            <v/>
          </cell>
          <cell r="AH78">
            <v>0</v>
          </cell>
          <cell r="AI78">
            <v>0</v>
          </cell>
          <cell r="AJ78" t="e">
            <v>#N/A</v>
          </cell>
          <cell r="AK78" t="e">
            <v>#N/A</v>
          </cell>
          <cell r="AL78" t="e">
            <v>#N/A</v>
          </cell>
          <cell r="AM78" t="str">
            <v/>
          </cell>
          <cell r="AN78">
            <v>0</v>
          </cell>
          <cell r="AO78" t="str">
            <v/>
          </cell>
          <cell r="AP78">
            <v>0</v>
          </cell>
          <cell r="AQ78" t="str">
            <v/>
          </cell>
          <cell r="AR78">
            <v>0</v>
          </cell>
          <cell r="AS78" t="str">
            <v/>
          </cell>
          <cell r="AT78" t="str">
            <v/>
          </cell>
          <cell r="AU78">
            <v>0</v>
          </cell>
          <cell r="AV78" t="e">
            <v>#N/A</v>
          </cell>
          <cell r="AW78" t="e">
            <v>#N/A</v>
          </cell>
          <cell r="AX78" t="e">
            <v>#N/A</v>
          </cell>
          <cell r="AY78" t="str">
            <v/>
          </cell>
          <cell r="AZ78">
            <v>0</v>
          </cell>
          <cell r="BA78" t="str">
            <v/>
          </cell>
          <cell r="BB78">
            <v>0</v>
          </cell>
          <cell r="BC78" t="str">
            <v/>
          </cell>
        </row>
        <row r="79">
          <cell r="AF79" t="str">
            <v/>
          </cell>
          <cell r="AG79" t="str">
            <v/>
          </cell>
          <cell r="AH79">
            <v>0</v>
          </cell>
          <cell r="AI79">
            <v>0</v>
          </cell>
          <cell r="AJ79" t="e">
            <v>#N/A</v>
          </cell>
          <cell r="AK79" t="e">
            <v>#N/A</v>
          </cell>
          <cell r="AL79" t="e">
            <v>#N/A</v>
          </cell>
          <cell r="AM79" t="str">
            <v/>
          </cell>
          <cell r="AN79">
            <v>0</v>
          </cell>
          <cell r="AO79" t="str">
            <v/>
          </cell>
          <cell r="AP79">
            <v>0</v>
          </cell>
          <cell r="AQ79" t="str">
            <v/>
          </cell>
          <cell r="AR79">
            <v>0</v>
          </cell>
          <cell r="AS79" t="str">
            <v/>
          </cell>
          <cell r="AT79" t="str">
            <v/>
          </cell>
          <cell r="AU79">
            <v>0</v>
          </cell>
          <cell r="AV79" t="e">
            <v>#N/A</v>
          </cell>
          <cell r="AW79" t="e">
            <v>#N/A</v>
          </cell>
          <cell r="AX79" t="e">
            <v>#N/A</v>
          </cell>
          <cell r="AY79" t="str">
            <v/>
          </cell>
          <cell r="AZ79">
            <v>0</v>
          </cell>
          <cell r="BA79" t="str">
            <v/>
          </cell>
          <cell r="BB79">
            <v>0</v>
          </cell>
          <cell r="BC79" t="str">
            <v/>
          </cell>
        </row>
        <row r="80">
          <cell r="AF80" t="str">
            <v/>
          </cell>
          <cell r="AG80" t="str">
            <v/>
          </cell>
          <cell r="AH80">
            <v>0</v>
          </cell>
          <cell r="AI80">
            <v>0</v>
          </cell>
          <cell r="AJ80" t="e">
            <v>#N/A</v>
          </cell>
          <cell r="AK80" t="e">
            <v>#N/A</v>
          </cell>
          <cell r="AL80" t="e">
            <v>#N/A</v>
          </cell>
          <cell r="AM80" t="str">
            <v/>
          </cell>
          <cell r="AN80">
            <v>0</v>
          </cell>
          <cell r="AO80" t="str">
            <v/>
          </cell>
          <cell r="AP80">
            <v>0</v>
          </cell>
          <cell r="AQ80" t="str">
            <v/>
          </cell>
          <cell r="AR80">
            <v>0</v>
          </cell>
          <cell r="AS80" t="str">
            <v/>
          </cell>
          <cell r="AT80" t="str">
            <v/>
          </cell>
          <cell r="AU80">
            <v>0</v>
          </cell>
          <cell r="AV80" t="e">
            <v>#N/A</v>
          </cell>
          <cell r="AW80" t="e">
            <v>#N/A</v>
          </cell>
          <cell r="AX80" t="e">
            <v>#N/A</v>
          </cell>
          <cell r="AY80" t="str">
            <v/>
          </cell>
          <cell r="AZ80">
            <v>0</v>
          </cell>
          <cell r="BA80" t="str">
            <v/>
          </cell>
          <cell r="BB80">
            <v>0</v>
          </cell>
          <cell r="BC80" t="str">
            <v/>
          </cell>
        </row>
        <row r="81">
          <cell r="AF81" t="str">
            <v/>
          </cell>
          <cell r="AG81" t="str">
            <v/>
          </cell>
          <cell r="AH81">
            <v>0</v>
          </cell>
          <cell r="AI81">
            <v>0</v>
          </cell>
          <cell r="AJ81" t="e">
            <v>#N/A</v>
          </cell>
          <cell r="AK81" t="e">
            <v>#N/A</v>
          </cell>
          <cell r="AL81" t="e">
            <v>#N/A</v>
          </cell>
          <cell r="AM81" t="str">
            <v/>
          </cell>
          <cell r="AN81">
            <v>0</v>
          </cell>
          <cell r="AO81" t="str">
            <v/>
          </cell>
          <cell r="AP81">
            <v>0</v>
          </cell>
          <cell r="AQ81" t="str">
            <v/>
          </cell>
          <cell r="AR81">
            <v>0</v>
          </cell>
          <cell r="AS81" t="str">
            <v/>
          </cell>
          <cell r="AT81" t="str">
            <v/>
          </cell>
          <cell r="AU81">
            <v>0</v>
          </cell>
          <cell r="AV81" t="e">
            <v>#N/A</v>
          </cell>
          <cell r="AW81" t="e">
            <v>#N/A</v>
          </cell>
          <cell r="AX81" t="e">
            <v>#N/A</v>
          </cell>
          <cell r="AY81" t="str">
            <v/>
          </cell>
          <cell r="AZ81">
            <v>0</v>
          </cell>
          <cell r="BA81" t="str">
            <v/>
          </cell>
          <cell r="BB81">
            <v>0</v>
          </cell>
          <cell r="BC81" t="str">
            <v/>
          </cell>
        </row>
        <row r="82">
          <cell r="AF82" t="str">
            <v/>
          </cell>
          <cell r="AG82" t="str">
            <v/>
          </cell>
          <cell r="AH82">
            <v>0</v>
          </cell>
          <cell r="AI82">
            <v>0</v>
          </cell>
          <cell r="AJ82" t="e">
            <v>#N/A</v>
          </cell>
          <cell r="AK82" t="e">
            <v>#N/A</v>
          </cell>
          <cell r="AL82" t="e">
            <v>#N/A</v>
          </cell>
          <cell r="AM82" t="str">
            <v/>
          </cell>
          <cell r="AN82">
            <v>0</v>
          </cell>
          <cell r="AO82" t="str">
            <v/>
          </cell>
          <cell r="AP82">
            <v>0</v>
          </cell>
          <cell r="AQ82" t="str">
            <v/>
          </cell>
          <cell r="AR82">
            <v>0</v>
          </cell>
          <cell r="AS82" t="str">
            <v/>
          </cell>
          <cell r="AT82" t="str">
            <v/>
          </cell>
          <cell r="AU82">
            <v>0</v>
          </cell>
          <cell r="AV82" t="e">
            <v>#N/A</v>
          </cell>
          <cell r="AW82" t="e">
            <v>#N/A</v>
          </cell>
          <cell r="AX82" t="e">
            <v>#N/A</v>
          </cell>
          <cell r="AY82" t="str">
            <v/>
          </cell>
          <cell r="AZ82">
            <v>0</v>
          </cell>
          <cell r="BA82" t="str">
            <v/>
          </cell>
          <cell r="BB82">
            <v>0</v>
          </cell>
          <cell r="BC82" t="str">
            <v/>
          </cell>
        </row>
        <row r="83">
          <cell r="AF83" t="str">
            <v/>
          </cell>
          <cell r="AG83" t="str">
            <v/>
          </cell>
          <cell r="AH83">
            <v>0</v>
          </cell>
          <cell r="AI83">
            <v>0</v>
          </cell>
          <cell r="AJ83" t="e">
            <v>#N/A</v>
          </cell>
          <cell r="AK83" t="e">
            <v>#N/A</v>
          </cell>
          <cell r="AL83" t="e">
            <v>#N/A</v>
          </cell>
          <cell r="AM83" t="str">
            <v/>
          </cell>
          <cell r="AN83">
            <v>0</v>
          </cell>
          <cell r="AO83" t="str">
            <v/>
          </cell>
          <cell r="AP83">
            <v>0</v>
          </cell>
          <cell r="AQ83" t="str">
            <v/>
          </cell>
          <cell r="AR83">
            <v>0</v>
          </cell>
          <cell r="AS83" t="str">
            <v/>
          </cell>
          <cell r="AT83" t="str">
            <v/>
          </cell>
          <cell r="AU83">
            <v>0</v>
          </cell>
          <cell r="AV83" t="e">
            <v>#N/A</v>
          </cell>
          <cell r="AW83" t="e">
            <v>#N/A</v>
          </cell>
          <cell r="AX83" t="e">
            <v>#N/A</v>
          </cell>
          <cell r="AY83" t="str">
            <v/>
          </cell>
          <cell r="AZ83">
            <v>0</v>
          </cell>
          <cell r="BA83" t="str">
            <v/>
          </cell>
          <cell r="BB83">
            <v>0</v>
          </cell>
          <cell r="BC83" t="str">
            <v/>
          </cell>
        </row>
        <row r="84">
          <cell r="AF84" t="str">
            <v/>
          </cell>
          <cell r="AG84" t="str">
            <v/>
          </cell>
          <cell r="AH84">
            <v>0</v>
          </cell>
          <cell r="AI84">
            <v>0</v>
          </cell>
          <cell r="AJ84" t="e">
            <v>#N/A</v>
          </cell>
          <cell r="AK84" t="e">
            <v>#N/A</v>
          </cell>
          <cell r="AL84" t="e">
            <v>#N/A</v>
          </cell>
          <cell r="AM84" t="str">
            <v/>
          </cell>
          <cell r="AN84">
            <v>0</v>
          </cell>
          <cell r="AO84" t="str">
            <v/>
          </cell>
          <cell r="AP84">
            <v>0</v>
          </cell>
          <cell r="AQ84" t="str">
            <v/>
          </cell>
          <cell r="AR84">
            <v>0</v>
          </cell>
          <cell r="AS84" t="str">
            <v/>
          </cell>
          <cell r="AT84" t="str">
            <v/>
          </cell>
          <cell r="AU84">
            <v>0</v>
          </cell>
          <cell r="AV84" t="e">
            <v>#N/A</v>
          </cell>
          <cell r="AW84" t="e">
            <v>#N/A</v>
          </cell>
          <cell r="AX84" t="e">
            <v>#N/A</v>
          </cell>
          <cell r="AY84" t="str">
            <v/>
          </cell>
          <cell r="AZ84">
            <v>0</v>
          </cell>
          <cell r="BA84" t="str">
            <v/>
          </cell>
          <cell r="BB84">
            <v>0</v>
          </cell>
          <cell r="BC84" t="str">
            <v/>
          </cell>
        </row>
        <row r="85">
          <cell r="AF85" t="str">
            <v/>
          </cell>
          <cell r="AG85" t="str">
            <v/>
          </cell>
          <cell r="AH85">
            <v>0</v>
          </cell>
          <cell r="AI85">
            <v>0</v>
          </cell>
          <cell r="AJ85" t="e">
            <v>#N/A</v>
          </cell>
          <cell r="AK85" t="e">
            <v>#N/A</v>
          </cell>
          <cell r="AL85" t="e">
            <v>#N/A</v>
          </cell>
          <cell r="AM85" t="str">
            <v/>
          </cell>
          <cell r="AN85">
            <v>0</v>
          </cell>
          <cell r="AO85" t="str">
            <v/>
          </cell>
          <cell r="AP85">
            <v>0</v>
          </cell>
          <cell r="AQ85" t="str">
            <v/>
          </cell>
          <cell r="AR85">
            <v>0</v>
          </cell>
          <cell r="AS85" t="str">
            <v/>
          </cell>
          <cell r="AT85" t="str">
            <v/>
          </cell>
          <cell r="AU85">
            <v>0</v>
          </cell>
          <cell r="AV85" t="e">
            <v>#N/A</v>
          </cell>
          <cell r="AW85" t="e">
            <v>#N/A</v>
          </cell>
          <cell r="AX85" t="e">
            <v>#N/A</v>
          </cell>
          <cell r="AY85" t="str">
            <v/>
          </cell>
          <cell r="AZ85">
            <v>0</v>
          </cell>
          <cell r="BA85" t="str">
            <v/>
          </cell>
          <cell r="BB85">
            <v>0</v>
          </cell>
          <cell r="BC85" t="str">
            <v/>
          </cell>
        </row>
        <row r="86">
          <cell r="AF86" t="str">
            <v/>
          </cell>
          <cell r="AG86" t="str">
            <v/>
          </cell>
          <cell r="AH86">
            <v>0</v>
          </cell>
          <cell r="AI86">
            <v>0</v>
          </cell>
          <cell r="AJ86" t="e">
            <v>#N/A</v>
          </cell>
          <cell r="AK86" t="e">
            <v>#N/A</v>
          </cell>
          <cell r="AL86" t="e">
            <v>#N/A</v>
          </cell>
          <cell r="AM86" t="str">
            <v/>
          </cell>
          <cell r="AN86">
            <v>0</v>
          </cell>
          <cell r="AO86" t="str">
            <v/>
          </cell>
          <cell r="AP86">
            <v>0</v>
          </cell>
          <cell r="AQ86" t="str">
            <v/>
          </cell>
          <cell r="AR86">
            <v>0</v>
          </cell>
          <cell r="AS86" t="str">
            <v/>
          </cell>
          <cell r="AT86" t="str">
            <v/>
          </cell>
          <cell r="AU86">
            <v>0</v>
          </cell>
          <cell r="AV86" t="e">
            <v>#N/A</v>
          </cell>
          <cell r="AW86" t="e">
            <v>#N/A</v>
          </cell>
          <cell r="AX86" t="e">
            <v>#N/A</v>
          </cell>
          <cell r="AY86" t="str">
            <v/>
          </cell>
          <cell r="AZ86">
            <v>0</v>
          </cell>
          <cell r="BA86" t="str">
            <v/>
          </cell>
          <cell r="BB86">
            <v>0</v>
          </cell>
          <cell r="BC86" t="str">
            <v/>
          </cell>
        </row>
        <row r="100">
          <cell r="AF100" t="str">
            <v>Combustível</v>
          </cell>
          <cell r="AG100" t="str">
            <v>Combustível</v>
          </cell>
          <cell r="AH100" t="str">
            <v>Consumo Fósseis</v>
          </cell>
          <cell r="AI100">
            <v>0</v>
          </cell>
          <cell r="AJ100" t="str">
            <v>EFs Combustíveis Fosseis [Kg/L]</v>
          </cell>
          <cell r="AK100">
            <v>0</v>
          </cell>
          <cell r="AL100">
            <v>0</v>
          </cell>
          <cell r="AM100" t="str">
            <v>Emissões</v>
          </cell>
          <cell r="AN100">
            <v>0</v>
          </cell>
          <cell r="AO100">
            <v>0</v>
          </cell>
          <cell r="AP100">
            <v>0</v>
          </cell>
          <cell r="AQ100">
            <v>0</v>
          </cell>
          <cell r="AR100">
            <v>0</v>
          </cell>
          <cell r="AS100" t="str">
            <v>Combustível</v>
          </cell>
          <cell r="AT100" t="str">
            <v>Consumo não fossil</v>
          </cell>
          <cell r="AU100">
            <v>0</v>
          </cell>
          <cell r="AV100" t="str">
            <v>EFs Combustíveis não fosséis</v>
          </cell>
          <cell r="AW100">
            <v>0</v>
          </cell>
          <cell r="AX100">
            <v>0</v>
          </cell>
          <cell r="AY100" t="str">
            <v>Emissões</v>
          </cell>
          <cell r="AZ100">
            <v>0</v>
          </cell>
          <cell r="BA100">
            <v>0</v>
          </cell>
          <cell r="BB100">
            <v>0</v>
          </cell>
          <cell r="BC100">
            <v>0</v>
          </cell>
        </row>
        <row r="101">
          <cell r="AF101" t="str">
            <v>relatado</v>
          </cell>
          <cell r="AG101" t="str">
            <v>fóssil</v>
          </cell>
          <cell r="AH101">
            <v>0</v>
          </cell>
          <cell r="AI101">
            <v>0</v>
          </cell>
          <cell r="AJ101" t="str">
            <v>CO2</v>
          </cell>
          <cell r="AK101" t="str">
            <v>CH4</v>
          </cell>
          <cell r="AL101" t="str">
            <v>N2O</v>
          </cell>
          <cell r="AM101" t="str">
            <v>CO2</v>
          </cell>
          <cell r="AN101">
            <v>0</v>
          </cell>
          <cell r="AO101" t="str">
            <v>CH4</v>
          </cell>
          <cell r="AP101">
            <v>0</v>
          </cell>
          <cell r="AQ101" t="str">
            <v>N2O</v>
          </cell>
          <cell r="AR101">
            <v>0</v>
          </cell>
          <cell r="AS101" t="str">
            <v>não fóssil</v>
          </cell>
          <cell r="AT101">
            <v>0</v>
          </cell>
          <cell r="AU101">
            <v>0</v>
          </cell>
          <cell r="AV101" t="str">
            <v>CO2</v>
          </cell>
          <cell r="AW101" t="str">
            <v>CH4</v>
          </cell>
          <cell r="AX101" t="str">
            <v>N2O</v>
          </cell>
          <cell r="AY101" t="str">
            <v>CO2</v>
          </cell>
          <cell r="AZ101">
            <v>0</v>
          </cell>
          <cell r="BA101" t="str">
            <v>CH4</v>
          </cell>
          <cell r="BB101">
            <v>0</v>
          </cell>
          <cell r="BC101" t="str">
            <v>N2O</v>
          </cell>
        </row>
        <row r="102">
          <cell r="AF102" t="str">
            <v/>
          </cell>
          <cell r="AG102" t="str">
            <v/>
          </cell>
          <cell r="AH102">
            <v>0</v>
          </cell>
          <cell r="AI102">
            <v>0</v>
          </cell>
          <cell r="AJ102" t="e">
            <v>#N/A</v>
          </cell>
          <cell r="AK102" t="e">
            <v>#N/A</v>
          </cell>
          <cell r="AL102" t="e">
            <v>#N/A</v>
          </cell>
          <cell r="AM102" t="str">
            <v/>
          </cell>
          <cell r="AN102">
            <v>0</v>
          </cell>
          <cell r="AO102" t="str">
            <v/>
          </cell>
          <cell r="AP102">
            <v>0</v>
          </cell>
          <cell r="AQ102" t="str">
            <v/>
          </cell>
          <cell r="AR102">
            <v>0</v>
          </cell>
          <cell r="AS102" t="str">
            <v/>
          </cell>
          <cell r="AT102" t="str">
            <v/>
          </cell>
          <cell r="AU102">
            <v>0</v>
          </cell>
          <cell r="AV102" t="str">
            <v/>
          </cell>
          <cell r="AW102" t="e">
            <v>#N/A</v>
          </cell>
          <cell r="AX102" t="e">
            <v>#N/A</v>
          </cell>
          <cell r="AY102" t="str">
            <v/>
          </cell>
          <cell r="AZ102">
            <v>0</v>
          </cell>
          <cell r="BA102" t="str">
            <v/>
          </cell>
          <cell r="BB102">
            <v>0</v>
          </cell>
          <cell r="BC102" t="str">
            <v/>
          </cell>
        </row>
        <row r="103">
          <cell r="AF103" t="str">
            <v/>
          </cell>
          <cell r="AG103" t="str">
            <v/>
          </cell>
          <cell r="AH103">
            <v>0</v>
          </cell>
          <cell r="AI103">
            <v>0</v>
          </cell>
          <cell r="AJ103" t="e">
            <v>#N/A</v>
          </cell>
          <cell r="AK103" t="e">
            <v>#N/A</v>
          </cell>
          <cell r="AL103" t="e">
            <v>#N/A</v>
          </cell>
          <cell r="AM103" t="str">
            <v/>
          </cell>
          <cell r="AN103">
            <v>0</v>
          </cell>
          <cell r="AO103" t="str">
            <v/>
          </cell>
          <cell r="AP103">
            <v>0</v>
          </cell>
          <cell r="AQ103" t="str">
            <v/>
          </cell>
          <cell r="AR103">
            <v>0</v>
          </cell>
          <cell r="AS103" t="str">
            <v/>
          </cell>
          <cell r="AT103" t="str">
            <v/>
          </cell>
          <cell r="AU103">
            <v>0</v>
          </cell>
          <cell r="AV103" t="str">
            <v/>
          </cell>
          <cell r="AW103" t="e">
            <v>#N/A</v>
          </cell>
          <cell r="AX103" t="e">
            <v>#N/A</v>
          </cell>
          <cell r="AY103" t="str">
            <v/>
          </cell>
          <cell r="AZ103">
            <v>0</v>
          </cell>
          <cell r="BA103" t="str">
            <v/>
          </cell>
          <cell r="BB103">
            <v>0</v>
          </cell>
          <cell r="BC103" t="str">
            <v/>
          </cell>
        </row>
        <row r="104">
          <cell r="AF104" t="str">
            <v/>
          </cell>
          <cell r="AG104" t="str">
            <v/>
          </cell>
          <cell r="AH104">
            <v>0</v>
          </cell>
          <cell r="AI104">
            <v>0</v>
          </cell>
          <cell r="AJ104" t="e">
            <v>#N/A</v>
          </cell>
          <cell r="AK104" t="e">
            <v>#N/A</v>
          </cell>
          <cell r="AL104" t="e">
            <v>#N/A</v>
          </cell>
          <cell r="AM104" t="str">
            <v/>
          </cell>
          <cell r="AN104">
            <v>0</v>
          </cell>
          <cell r="AO104" t="str">
            <v/>
          </cell>
          <cell r="AP104">
            <v>0</v>
          </cell>
          <cell r="AQ104" t="str">
            <v/>
          </cell>
          <cell r="AR104">
            <v>0</v>
          </cell>
          <cell r="AS104" t="str">
            <v/>
          </cell>
          <cell r="AT104" t="str">
            <v/>
          </cell>
          <cell r="AU104">
            <v>0</v>
          </cell>
          <cell r="AV104" t="str">
            <v/>
          </cell>
          <cell r="AW104" t="e">
            <v>#N/A</v>
          </cell>
          <cell r="AX104" t="e">
            <v>#N/A</v>
          </cell>
          <cell r="AY104" t="str">
            <v/>
          </cell>
          <cell r="AZ104">
            <v>0</v>
          </cell>
          <cell r="BA104" t="str">
            <v/>
          </cell>
          <cell r="BB104">
            <v>0</v>
          </cell>
          <cell r="BC104" t="str">
            <v/>
          </cell>
        </row>
        <row r="105">
          <cell r="AF105" t="str">
            <v/>
          </cell>
          <cell r="AG105" t="str">
            <v/>
          </cell>
          <cell r="AH105">
            <v>0</v>
          </cell>
          <cell r="AI105">
            <v>0</v>
          </cell>
          <cell r="AJ105" t="e">
            <v>#N/A</v>
          </cell>
          <cell r="AK105" t="e">
            <v>#N/A</v>
          </cell>
          <cell r="AL105" t="e">
            <v>#N/A</v>
          </cell>
          <cell r="AM105" t="str">
            <v/>
          </cell>
          <cell r="AN105">
            <v>0</v>
          </cell>
          <cell r="AO105" t="str">
            <v/>
          </cell>
          <cell r="AP105">
            <v>0</v>
          </cell>
          <cell r="AQ105" t="str">
            <v/>
          </cell>
          <cell r="AR105">
            <v>0</v>
          </cell>
          <cell r="AS105" t="str">
            <v/>
          </cell>
          <cell r="AT105" t="str">
            <v/>
          </cell>
          <cell r="AU105">
            <v>0</v>
          </cell>
          <cell r="AV105" t="str">
            <v/>
          </cell>
          <cell r="AW105" t="e">
            <v>#N/A</v>
          </cell>
          <cell r="AX105" t="e">
            <v>#N/A</v>
          </cell>
          <cell r="AY105" t="str">
            <v/>
          </cell>
          <cell r="AZ105">
            <v>0</v>
          </cell>
          <cell r="BA105" t="str">
            <v/>
          </cell>
          <cell r="BB105">
            <v>0</v>
          </cell>
          <cell r="BC105" t="str">
            <v/>
          </cell>
        </row>
        <row r="106">
          <cell r="AF106" t="str">
            <v/>
          </cell>
          <cell r="AG106" t="str">
            <v/>
          </cell>
          <cell r="AH106">
            <v>0</v>
          </cell>
          <cell r="AI106">
            <v>0</v>
          </cell>
          <cell r="AJ106" t="e">
            <v>#N/A</v>
          </cell>
          <cell r="AK106" t="e">
            <v>#N/A</v>
          </cell>
          <cell r="AL106" t="e">
            <v>#N/A</v>
          </cell>
          <cell r="AM106" t="str">
            <v/>
          </cell>
          <cell r="AN106">
            <v>0</v>
          </cell>
          <cell r="AO106" t="str">
            <v/>
          </cell>
          <cell r="AP106">
            <v>0</v>
          </cell>
          <cell r="AQ106" t="str">
            <v/>
          </cell>
          <cell r="AR106">
            <v>0</v>
          </cell>
          <cell r="AS106" t="str">
            <v/>
          </cell>
          <cell r="AT106" t="str">
            <v/>
          </cell>
          <cell r="AU106">
            <v>0</v>
          </cell>
          <cell r="AV106" t="str">
            <v/>
          </cell>
          <cell r="AW106" t="e">
            <v>#N/A</v>
          </cell>
          <cell r="AX106" t="e">
            <v>#N/A</v>
          </cell>
          <cell r="AY106" t="str">
            <v/>
          </cell>
          <cell r="AZ106">
            <v>0</v>
          </cell>
          <cell r="BA106" t="str">
            <v/>
          </cell>
          <cell r="BB106">
            <v>0</v>
          </cell>
          <cell r="BC106" t="str">
            <v/>
          </cell>
        </row>
        <row r="107">
          <cell r="AF107" t="str">
            <v/>
          </cell>
          <cell r="AG107" t="str">
            <v/>
          </cell>
          <cell r="AH107">
            <v>0</v>
          </cell>
          <cell r="AI107">
            <v>0</v>
          </cell>
          <cell r="AJ107" t="e">
            <v>#N/A</v>
          </cell>
          <cell r="AK107" t="e">
            <v>#N/A</v>
          </cell>
          <cell r="AL107" t="e">
            <v>#N/A</v>
          </cell>
          <cell r="AM107" t="str">
            <v/>
          </cell>
          <cell r="AN107">
            <v>0</v>
          </cell>
          <cell r="AO107" t="str">
            <v/>
          </cell>
          <cell r="AP107">
            <v>0</v>
          </cell>
          <cell r="AQ107" t="str">
            <v/>
          </cell>
          <cell r="AR107">
            <v>0</v>
          </cell>
          <cell r="AS107" t="str">
            <v/>
          </cell>
          <cell r="AT107" t="str">
            <v/>
          </cell>
          <cell r="AU107">
            <v>0</v>
          </cell>
          <cell r="AV107" t="str">
            <v/>
          </cell>
          <cell r="AW107" t="e">
            <v>#N/A</v>
          </cell>
          <cell r="AX107" t="e">
            <v>#N/A</v>
          </cell>
          <cell r="AY107" t="str">
            <v/>
          </cell>
          <cell r="AZ107">
            <v>0</v>
          </cell>
          <cell r="BA107" t="str">
            <v/>
          </cell>
          <cell r="BB107">
            <v>0</v>
          </cell>
          <cell r="BC107" t="str">
            <v/>
          </cell>
        </row>
        <row r="108">
          <cell r="AF108" t="str">
            <v/>
          </cell>
          <cell r="AG108" t="str">
            <v/>
          </cell>
          <cell r="AH108">
            <v>0</v>
          </cell>
          <cell r="AI108">
            <v>0</v>
          </cell>
          <cell r="AJ108" t="e">
            <v>#N/A</v>
          </cell>
          <cell r="AK108" t="e">
            <v>#N/A</v>
          </cell>
          <cell r="AL108" t="e">
            <v>#N/A</v>
          </cell>
          <cell r="AM108" t="str">
            <v/>
          </cell>
          <cell r="AN108">
            <v>0</v>
          </cell>
          <cell r="AO108" t="str">
            <v/>
          </cell>
          <cell r="AP108">
            <v>0</v>
          </cell>
          <cell r="AQ108" t="str">
            <v/>
          </cell>
          <cell r="AR108">
            <v>0</v>
          </cell>
          <cell r="AS108" t="str">
            <v/>
          </cell>
          <cell r="AT108" t="str">
            <v/>
          </cell>
          <cell r="AU108">
            <v>0</v>
          </cell>
          <cell r="AV108" t="str">
            <v/>
          </cell>
          <cell r="AW108" t="e">
            <v>#N/A</v>
          </cell>
          <cell r="AX108" t="e">
            <v>#N/A</v>
          </cell>
          <cell r="AY108" t="str">
            <v/>
          </cell>
          <cell r="AZ108">
            <v>0</v>
          </cell>
          <cell r="BA108" t="str">
            <v/>
          </cell>
          <cell r="BB108">
            <v>0</v>
          </cell>
          <cell r="BC108" t="str">
            <v/>
          </cell>
        </row>
        <row r="109">
          <cell r="AF109" t="str">
            <v/>
          </cell>
          <cell r="AG109" t="str">
            <v/>
          </cell>
          <cell r="AH109">
            <v>0</v>
          </cell>
          <cell r="AI109">
            <v>0</v>
          </cell>
          <cell r="AJ109" t="e">
            <v>#N/A</v>
          </cell>
          <cell r="AK109" t="e">
            <v>#N/A</v>
          </cell>
          <cell r="AL109" t="e">
            <v>#N/A</v>
          </cell>
          <cell r="AM109" t="str">
            <v/>
          </cell>
          <cell r="AN109">
            <v>0</v>
          </cell>
          <cell r="AO109" t="str">
            <v/>
          </cell>
          <cell r="AP109">
            <v>0</v>
          </cell>
          <cell r="AQ109" t="str">
            <v/>
          </cell>
          <cell r="AR109">
            <v>0</v>
          </cell>
          <cell r="AS109" t="str">
            <v/>
          </cell>
          <cell r="AT109" t="str">
            <v/>
          </cell>
          <cell r="AU109">
            <v>0</v>
          </cell>
          <cell r="AV109" t="str">
            <v/>
          </cell>
          <cell r="AW109" t="e">
            <v>#N/A</v>
          </cell>
          <cell r="AX109" t="e">
            <v>#N/A</v>
          </cell>
          <cell r="AY109" t="str">
            <v/>
          </cell>
          <cell r="AZ109">
            <v>0</v>
          </cell>
          <cell r="BA109" t="str">
            <v/>
          </cell>
          <cell r="BB109">
            <v>0</v>
          </cell>
          <cell r="BC109" t="str">
            <v/>
          </cell>
        </row>
        <row r="110">
          <cell r="AF110" t="str">
            <v/>
          </cell>
          <cell r="AG110" t="str">
            <v/>
          </cell>
          <cell r="AH110">
            <v>0</v>
          </cell>
          <cell r="AI110">
            <v>0</v>
          </cell>
          <cell r="AJ110" t="e">
            <v>#N/A</v>
          </cell>
          <cell r="AK110" t="e">
            <v>#N/A</v>
          </cell>
          <cell r="AL110" t="e">
            <v>#N/A</v>
          </cell>
          <cell r="AM110" t="str">
            <v/>
          </cell>
          <cell r="AN110">
            <v>0</v>
          </cell>
          <cell r="AO110" t="str">
            <v/>
          </cell>
          <cell r="AP110">
            <v>0</v>
          </cell>
          <cell r="AQ110" t="str">
            <v/>
          </cell>
          <cell r="AR110">
            <v>0</v>
          </cell>
          <cell r="AS110" t="str">
            <v/>
          </cell>
          <cell r="AT110" t="str">
            <v/>
          </cell>
          <cell r="AU110">
            <v>0</v>
          </cell>
          <cell r="AV110" t="str">
            <v/>
          </cell>
          <cell r="AW110" t="e">
            <v>#N/A</v>
          </cell>
          <cell r="AX110" t="e">
            <v>#N/A</v>
          </cell>
          <cell r="AY110" t="str">
            <v/>
          </cell>
          <cell r="AZ110">
            <v>0</v>
          </cell>
          <cell r="BA110" t="str">
            <v/>
          </cell>
          <cell r="BB110">
            <v>0</v>
          </cell>
          <cell r="BC110" t="str">
            <v/>
          </cell>
        </row>
        <row r="111">
          <cell r="AF111" t="str">
            <v/>
          </cell>
          <cell r="AG111" t="str">
            <v/>
          </cell>
          <cell r="AH111">
            <v>0</v>
          </cell>
          <cell r="AI111">
            <v>0</v>
          </cell>
          <cell r="AJ111" t="e">
            <v>#N/A</v>
          </cell>
          <cell r="AK111" t="e">
            <v>#N/A</v>
          </cell>
          <cell r="AL111" t="e">
            <v>#N/A</v>
          </cell>
          <cell r="AM111" t="str">
            <v/>
          </cell>
          <cell r="AN111">
            <v>0</v>
          </cell>
          <cell r="AO111" t="str">
            <v/>
          </cell>
          <cell r="AP111">
            <v>0</v>
          </cell>
          <cell r="AQ111" t="str">
            <v/>
          </cell>
          <cell r="AR111">
            <v>0</v>
          </cell>
          <cell r="AS111" t="str">
            <v/>
          </cell>
          <cell r="AT111" t="str">
            <v/>
          </cell>
          <cell r="AU111">
            <v>0</v>
          </cell>
          <cell r="AV111" t="str">
            <v/>
          </cell>
          <cell r="AW111" t="e">
            <v>#N/A</v>
          </cell>
          <cell r="AX111" t="e">
            <v>#N/A</v>
          </cell>
          <cell r="AY111" t="str">
            <v/>
          </cell>
          <cell r="AZ111">
            <v>0</v>
          </cell>
          <cell r="BA111" t="str">
            <v/>
          </cell>
          <cell r="BB111">
            <v>0</v>
          </cell>
          <cell r="BC111" t="str">
            <v/>
          </cell>
        </row>
        <row r="112">
          <cell r="AF112" t="str">
            <v/>
          </cell>
          <cell r="AG112" t="str">
            <v/>
          </cell>
          <cell r="AH112">
            <v>0</v>
          </cell>
          <cell r="AI112">
            <v>0</v>
          </cell>
          <cell r="AJ112" t="e">
            <v>#N/A</v>
          </cell>
          <cell r="AK112" t="e">
            <v>#N/A</v>
          </cell>
          <cell r="AL112" t="e">
            <v>#N/A</v>
          </cell>
          <cell r="AM112" t="str">
            <v/>
          </cell>
          <cell r="AN112">
            <v>0</v>
          </cell>
          <cell r="AO112" t="str">
            <v/>
          </cell>
          <cell r="AP112">
            <v>0</v>
          </cell>
          <cell r="AQ112" t="str">
            <v/>
          </cell>
          <cell r="AR112">
            <v>0</v>
          </cell>
          <cell r="AS112" t="str">
            <v/>
          </cell>
          <cell r="AT112" t="str">
            <v/>
          </cell>
          <cell r="AU112">
            <v>0</v>
          </cell>
          <cell r="AV112" t="str">
            <v/>
          </cell>
          <cell r="AW112" t="e">
            <v>#N/A</v>
          </cell>
          <cell r="AX112" t="e">
            <v>#N/A</v>
          </cell>
          <cell r="AY112" t="str">
            <v/>
          </cell>
          <cell r="AZ112">
            <v>0</v>
          </cell>
          <cell r="BA112" t="str">
            <v/>
          </cell>
          <cell r="BB112">
            <v>0</v>
          </cell>
          <cell r="BC112" t="str">
            <v/>
          </cell>
        </row>
        <row r="113">
          <cell r="AF113" t="str">
            <v/>
          </cell>
          <cell r="AG113" t="str">
            <v/>
          </cell>
          <cell r="AH113">
            <v>0</v>
          </cell>
          <cell r="AI113">
            <v>0</v>
          </cell>
          <cell r="AJ113" t="e">
            <v>#N/A</v>
          </cell>
          <cell r="AK113" t="e">
            <v>#N/A</v>
          </cell>
          <cell r="AL113" t="e">
            <v>#N/A</v>
          </cell>
          <cell r="AM113" t="str">
            <v/>
          </cell>
          <cell r="AN113">
            <v>0</v>
          </cell>
          <cell r="AO113" t="str">
            <v/>
          </cell>
          <cell r="AP113">
            <v>0</v>
          </cell>
          <cell r="AQ113" t="str">
            <v/>
          </cell>
          <cell r="AR113">
            <v>0</v>
          </cell>
          <cell r="AS113" t="str">
            <v/>
          </cell>
          <cell r="AT113" t="str">
            <v/>
          </cell>
          <cell r="AU113">
            <v>0</v>
          </cell>
          <cell r="AV113" t="str">
            <v/>
          </cell>
          <cell r="AW113" t="e">
            <v>#N/A</v>
          </cell>
          <cell r="AX113" t="e">
            <v>#N/A</v>
          </cell>
          <cell r="AY113" t="str">
            <v/>
          </cell>
          <cell r="AZ113">
            <v>0</v>
          </cell>
          <cell r="BA113" t="str">
            <v/>
          </cell>
          <cell r="BB113">
            <v>0</v>
          </cell>
          <cell r="BC113" t="str">
            <v/>
          </cell>
        </row>
        <row r="114">
          <cell r="AF114" t="str">
            <v/>
          </cell>
          <cell r="AG114" t="str">
            <v/>
          </cell>
          <cell r="AH114">
            <v>0</v>
          </cell>
          <cell r="AI114">
            <v>0</v>
          </cell>
          <cell r="AJ114" t="e">
            <v>#N/A</v>
          </cell>
          <cell r="AK114" t="e">
            <v>#N/A</v>
          </cell>
          <cell r="AL114" t="e">
            <v>#N/A</v>
          </cell>
          <cell r="AM114" t="str">
            <v/>
          </cell>
          <cell r="AN114">
            <v>0</v>
          </cell>
          <cell r="AO114" t="str">
            <v/>
          </cell>
          <cell r="AP114">
            <v>0</v>
          </cell>
          <cell r="AQ114" t="str">
            <v/>
          </cell>
          <cell r="AR114">
            <v>0</v>
          </cell>
          <cell r="AS114" t="str">
            <v/>
          </cell>
          <cell r="AT114" t="str">
            <v/>
          </cell>
          <cell r="AU114">
            <v>0</v>
          </cell>
          <cell r="AV114" t="str">
            <v/>
          </cell>
          <cell r="AW114" t="e">
            <v>#N/A</v>
          </cell>
          <cell r="AX114" t="e">
            <v>#N/A</v>
          </cell>
          <cell r="AY114" t="str">
            <v/>
          </cell>
          <cell r="AZ114">
            <v>0</v>
          </cell>
          <cell r="BA114" t="str">
            <v/>
          </cell>
          <cell r="BB114">
            <v>0</v>
          </cell>
          <cell r="BC114" t="str">
            <v/>
          </cell>
        </row>
        <row r="115">
          <cell r="AF115" t="str">
            <v/>
          </cell>
          <cell r="AG115" t="str">
            <v/>
          </cell>
          <cell r="AH115">
            <v>0</v>
          </cell>
          <cell r="AI115">
            <v>0</v>
          </cell>
          <cell r="AJ115" t="e">
            <v>#N/A</v>
          </cell>
          <cell r="AK115" t="e">
            <v>#N/A</v>
          </cell>
          <cell r="AL115" t="e">
            <v>#N/A</v>
          </cell>
          <cell r="AM115" t="str">
            <v/>
          </cell>
          <cell r="AN115">
            <v>0</v>
          </cell>
          <cell r="AO115" t="str">
            <v/>
          </cell>
          <cell r="AP115">
            <v>0</v>
          </cell>
          <cell r="AQ115" t="str">
            <v/>
          </cell>
          <cell r="AR115">
            <v>0</v>
          </cell>
          <cell r="AS115" t="str">
            <v/>
          </cell>
          <cell r="AT115" t="str">
            <v/>
          </cell>
          <cell r="AU115">
            <v>0</v>
          </cell>
          <cell r="AV115" t="str">
            <v/>
          </cell>
          <cell r="AW115" t="e">
            <v>#N/A</v>
          </cell>
          <cell r="AX115" t="e">
            <v>#N/A</v>
          </cell>
          <cell r="AY115" t="str">
            <v/>
          </cell>
          <cell r="AZ115">
            <v>0</v>
          </cell>
          <cell r="BA115" t="str">
            <v/>
          </cell>
          <cell r="BB115">
            <v>0</v>
          </cell>
          <cell r="BC115" t="str">
            <v/>
          </cell>
        </row>
        <row r="116">
          <cell r="AF116" t="str">
            <v/>
          </cell>
          <cell r="AG116" t="str">
            <v/>
          </cell>
          <cell r="AH116">
            <v>0</v>
          </cell>
          <cell r="AI116">
            <v>0</v>
          </cell>
          <cell r="AJ116" t="e">
            <v>#N/A</v>
          </cell>
          <cell r="AK116" t="e">
            <v>#N/A</v>
          </cell>
          <cell r="AL116" t="e">
            <v>#N/A</v>
          </cell>
          <cell r="AM116" t="str">
            <v/>
          </cell>
          <cell r="AN116">
            <v>0</v>
          </cell>
          <cell r="AO116" t="str">
            <v/>
          </cell>
          <cell r="AP116">
            <v>0</v>
          </cell>
          <cell r="AQ116" t="str">
            <v/>
          </cell>
          <cell r="AR116">
            <v>0</v>
          </cell>
          <cell r="AS116" t="str">
            <v/>
          </cell>
          <cell r="AT116" t="str">
            <v/>
          </cell>
          <cell r="AU116">
            <v>0</v>
          </cell>
          <cell r="AV116" t="str">
            <v/>
          </cell>
          <cell r="AW116" t="e">
            <v>#N/A</v>
          </cell>
          <cell r="AX116" t="e">
            <v>#N/A</v>
          </cell>
          <cell r="AY116" t="str">
            <v/>
          </cell>
          <cell r="AZ116">
            <v>0</v>
          </cell>
          <cell r="BA116" t="str">
            <v/>
          </cell>
          <cell r="BB116">
            <v>0</v>
          </cell>
          <cell r="BC116" t="str">
            <v/>
          </cell>
        </row>
        <row r="117">
          <cell r="AF117" t="str">
            <v/>
          </cell>
          <cell r="AG117" t="str">
            <v/>
          </cell>
          <cell r="AH117">
            <v>0</v>
          </cell>
          <cell r="AI117">
            <v>0</v>
          </cell>
          <cell r="AJ117" t="e">
            <v>#N/A</v>
          </cell>
          <cell r="AK117" t="e">
            <v>#N/A</v>
          </cell>
          <cell r="AL117" t="e">
            <v>#N/A</v>
          </cell>
          <cell r="AM117" t="str">
            <v/>
          </cell>
          <cell r="AN117">
            <v>0</v>
          </cell>
          <cell r="AO117" t="str">
            <v/>
          </cell>
          <cell r="AP117">
            <v>0</v>
          </cell>
          <cell r="AQ117" t="str">
            <v/>
          </cell>
          <cell r="AR117">
            <v>0</v>
          </cell>
          <cell r="AS117" t="str">
            <v/>
          </cell>
          <cell r="AT117" t="str">
            <v/>
          </cell>
          <cell r="AU117">
            <v>0</v>
          </cell>
          <cell r="AV117" t="str">
            <v/>
          </cell>
          <cell r="AW117" t="e">
            <v>#N/A</v>
          </cell>
          <cell r="AX117" t="e">
            <v>#N/A</v>
          </cell>
          <cell r="AY117" t="str">
            <v/>
          </cell>
          <cell r="AZ117">
            <v>0</v>
          </cell>
          <cell r="BA117" t="str">
            <v/>
          </cell>
          <cell r="BB117">
            <v>0</v>
          </cell>
          <cell r="BC117" t="str">
            <v/>
          </cell>
        </row>
        <row r="118">
          <cell r="AF118" t="str">
            <v/>
          </cell>
          <cell r="AG118" t="str">
            <v/>
          </cell>
          <cell r="AH118">
            <v>0</v>
          </cell>
          <cell r="AI118">
            <v>0</v>
          </cell>
          <cell r="AJ118" t="e">
            <v>#N/A</v>
          </cell>
          <cell r="AK118" t="e">
            <v>#N/A</v>
          </cell>
          <cell r="AL118" t="e">
            <v>#N/A</v>
          </cell>
          <cell r="AM118" t="str">
            <v/>
          </cell>
          <cell r="AN118">
            <v>0</v>
          </cell>
          <cell r="AO118" t="str">
            <v/>
          </cell>
          <cell r="AP118">
            <v>0</v>
          </cell>
          <cell r="AQ118" t="str">
            <v/>
          </cell>
          <cell r="AR118">
            <v>0</v>
          </cell>
          <cell r="AS118" t="str">
            <v/>
          </cell>
          <cell r="AT118" t="str">
            <v/>
          </cell>
          <cell r="AU118">
            <v>0</v>
          </cell>
          <cell r="AV118" t="str">
            <v/>
          </cell>
          <cell r="AW118" t="e">
            <v>#N/A</v>
          </cell>
          <cell r="AX118" t="e">
            <v>#N/A</v>
          </cell>
          <cell r="AY118" t="str">
            <v/>
          </cell>
          <cell r="AZ118">
            <v>0</v>
          </cell>
          <cell r="BA118" t="str">
            <v/>
          </cell>
          <cell r="BB118">
            <v>0</v>
          </cell>
          <cell r="BC118" t="str">
            <v/>
          </cell>
        </row>
        <row r="119">
          <cell r="AF119" t="str">
            <v/>
          </cell>
          <cell r="AG119" t="str">
            <v/>
          </cell>
          <cell r="AH119">
            <v>0</v>
          </cell>
          <cell r="AI119">
            <v>0</v>
          </cell>
          <cell r="AJ119" t="e">
            <v>#N/A</v>
          </cell>
          <cell r="AK119" t="e">
            <v>#N/A</v>
          </cell>
          <cell r="AL119" t="e">
            <v>#N/A</v>
          </cell>
          <cell r="AM119" t="str">
            <v/>
          </cell>
          <cell r="AN119">
            <v>0</v>
          </cell>
          <cell r="AO119" t="str">
            <v/>
          </cell>
          <cell r="AP119">
            <v>0</v>
          </cell>
          <cell r="AQ119" t="str">
            <v/>
          </cell>
          <cell r="AR119">
            <v>0</v>
          </cell>
          <cell r="AS119" t="str">
            <v/>
          </cell>
          <cell r="AT119" t="str">
            <v/>
          </cell>
          <cell r="AU119">
            <v>0</v>
          </cell>
          <cell r="AV119" t="str">
            <v/>
          </cell>
          <cell r="AW119" t="e">
            <v>#N/A</v>
          </cell>
          <cell r="AX119" t="e">
            <v>#N/A</v>
          </cell>
          <cell r="AY119" t="str">
            <v/>
          </cell>
          <cell r="AZ119">
            <v>0</v>
          </cell>
          <cell r="BA119" t="str">
            <v/>
          </cell>
          <cell r="BB119">
            <v>0</v>
          </cell>
          <cell r="BC119" t="str">
            <v/>
          </cell>
        </row>
        <row r="120">
          <cell r="AF120" t="str">
            <v/>
          </cell>
          <cell r="AG120" t="str">
            <v/>
          </cell>
          <cell r="AH120">
            <v>0</v>
          </cell>
          <cell r="AI120">
            <v>0</v>
          </cell>
          <cell r="AJ120" t="e">
            <v>#N/A</v>
          </cell>
          <cell r="AK120" t="e">
            <v>#N/A</v>
          </cell>
          <cell r="AL120" t="e">
            <v>#N/A</v>
          </cell>
          <cell r="AM120" t="str">
            <v/>
          </cell>
          <cell r="AN120">
            <v>0</v>
          </cell>
          <cell r="AO120" t="str">
            <v/>
          </cell>
          <cell r="AP120">
            <v>0</v>
          </cell>
          <cell r="AQ120" t="str">
            <v/>
          </cell>
          <cell r="AR120">
            <v>0</v>
          </cell>
          <cell r="AS120" t="str">
            <v/>
          </cell>
          <cell r="AT120" t="str">
            <v/>
          </cell>
          <cell r="AU120">
            <v>0</v>
          </cell>
          <cell r="AV120" t="str">
            <v/>
          </cell>
          <cell r="AW120" t="e">
            <v>#N/A</v>
          </cell>
          <cell r="AX120" t="e">
            <v>#N/A</v>
          </cell>
          <cell r="AY120" t="str">
            <v/>
          </cell>
          <cell r="AZ120">
            <v>0</v>
          </cell>
          <cell r="BA120" t="str">
            <v/>
          </cell>
          <cell r="BB120">
            <v>0</v>
          </cell>
          <cell r="BC120" t="str">
            <v/>
          </cell>
        </row>
        <row r="121">
          <cell r="AF121" t="str">
            <v/>
          </cell>
          <cell r="AG121" t="str">
            <v/>
          </cell>
          <cell r="AH121">
            <v>0</v>
          </cell>
          <cell r="AI121">
            <v>0</v>
          </cell>
          <cell r="AJ121" t="e">
            <v>#N/A</v>
          </cell>
          <cell r="AK121" t="e">
            <v>#N/A</v>
          </cell>
          <cell r="AL121" t="e">
            <v>#N/A</v>
          </cell>
          <cell r="AM121" t="str">
            <v/>
          </cell>
          <cell r="AN121">
            <v>0</v>
          </cell>
          <cell r="AO121" t="str">
            <v/>
          </cell>
          <cell r="AP121">
            <v>0</v>
          </cell>
          <cell r="AQ121" t="str">
            <v/>
          </cell>
          <cell r="AR121">
            <v>0</v>
          </cell>
          <cell r="AS121" t="str">
            <v/>
          </cell>
          <cell r="AT121" t="str">
            <v/>
          </cell>
          <cell r="AU121">
            <v>0</v>
          </cell>
          <cell r="AV121" t="str">
            <v/>
          </cell>
          <cell r="AW121" t="e">
            <v>#N/A</v>
          </cell>
          <cell r="AX121" t="e">
            <v>#N/A</v>
          </cell>
          <cell r="AY121" t="str">
            <v/>
          </cell>
          <cell r="AZ121">
            <v>0</v>
          </cell>
          <cell r="BA121" t="str">
            <v/>
          </cell>
          <cell r="BB121">
            <v>0</v>
          </cell>
          <cell r="BC121" t="str">
            <v/>
          </cell>
        </row>
        <row r="122">
          <cell r="AF122" t="str">
            <v/>
          </cell>
          <cell r="AG122" t="str">
            <v/>
          </cell>
          <cell r="AH122">
            <v>0</v>
          </cell>
          <cell r="AI122">
            <v>0</v>
          </cell>
          <cell r="AJ122" t="e">
            <v>#N/A</v>
          </cell>
          <cell r="AK122" t="e">
            <v>#N/A</v>
          </cell>
          <cell r="AL122" t="e">
            <v>#N/A</v>
          </cell>
          <cell r="AM122" t="str">
            <v/>
          </cell>
          <cell r="AN122">
            <v>0</v>
          </cell>
          <cell r="AO122" t="str">
            <v/>
          </cell>
          <cell r="AP122">
            <v>0</v>
          </cell>
          <cell r="AQ122" t="str">
            <v/>
          </cell>
          <cell r="AR122">
            <v>0</v>
          </cell>
          <cell r="AS122" t="str">
            <v/>
          </cell>
          <cell r="AT122" t="str">
            <v/>
          </cell>
          <cell r="AU122">
            <v>0</v>
          </cell>
          <cell r="AV122" t="str">
            <v/>
          </cell>
          <cell r="AW122" t="e">
            <v>#N/A</v>
          </cell>
          <cell r="AX122" t="e">
            <v>#N/A</v>
          </cell>
          <cell r="AY122" t="str">
            <v/>
          </cell>
          <cell r="AZ122">
            <v>0</v>
          </cell>
          <cell r="BA122" t="str">
            <v/>
          </cell>
          <cell r="BB122">
            <v>0</v>
          </cell>
          <cell r="BC122" t="str">
            <v/>
          </cell>
        </row>
        <row r="123">
          <cell r="AF123" t="str">
            <v/>
          </cell>
          <cell r="AG123" t="str">
            <v/>
          </cell>
          <cell r="AH123">
            <v>0</v>
          </cell>
          <cell r="AI123">
            <v>0</v>
          </cell>
          <cell r="AJ123" t="e">
            <v>#N/A</v>
          </cell>
          <cell r="AK123" t="e">
            <v>#N/A</v>
          </cell>
          <cell r="AL123" t="e">
            <v>#N/A</v>
          </cell>
          <cell r="AM123" t="str">
            <v/>
          </cell>
          <cell r="AN123">
            <v>0</v>
          </cell>
          <cell r="AO123" t="str">
            <v/>
          </cell>
          <cell r="AP123">
            <v>0</v>
          </cell>
          <cell r="AQ123" t="str">
            <v/>
          </cell>
          <cell r="AR123">
            <v>0</v>
          </cell>
          <cell r="AS123" t="str">
            <v/>
          </cell>
          <cell r="AT123" t="str">
            <v/>
          </cell>
          <cell r="AU123">
            <v>0</v>
          </cell>
          <cell r="AV123" t="str">
            <v/>
          </cell>
          <cell r="AW123" t="e">
            <v>#N/A</v>
          </cell>
          <cell r="AX123" t="e">
            <v>#N/A</v>
          </cell>
          <cell r="AY123" t="str">
            <v/>
          </cell>
          <cell r="AZ123">
            <v>0</v>
          </cell>
          <cell r="BA123" t="str">
            <v/>
          </cell>
          <cell r="BB123">
            <v>0</v>
          </cell>
          <cell r="BC123" t="str">
            <v/>
          </cell>
        </row>
        <row r="124">
          <cell r="AF124" t="str">
            <v/>
          </cell>
          <cell r="AG124" t="str">
            <v/>
          </cell>
          <cell r="AH124">
            <v>0</v>
          </cell>
          <cell r="AI124">
            <v>0</v>
          </cell>
          <cell r="AJ124" t="e">
            <v>#N/A</v>
          </cell>
          <cell r="AK124" t="e">
            <v>#N/A</v>
          </cell>
          <cell r="AL124" t="e">
            <v>#N/A</v>
          </cell>
          <cell r="AM124" t="str">
            <v/>
          </cell>
          <cell r="AN124">
            <v>0</v>
          </cell>
          <cell r="AO124" t="str">
            <v/>
          </cell>
          <cell r="AP124">
            <v>0</v>
          </cell>
          <cell r="AQ124" t="str">
            <v/>
          </cell>
          <cell r="AR124">
            <v>0</v>
          </cell>
          <cell r="AS124" t="str">
            <v/>
          </cell>
          <cell r="AT124" t="str">
            <v/>
          </cell>
          <cell r="AU124">
            <v>0</v>
          </cell>
          <cell r="AV124" t="str">
            <v/>
          </cell>
          <cell r="AW124" t="e">
            <v>#N/A</v>
          </cell>
          <cell r="AX124" t="e">
            <v>#N/A</v>
          </cell>
          <cell r="AY124" t="str">
            <v/>
          </cell>
          <cell r="AZ124">
            <v>0</v>
          </cell>
          <cell r="BA124" t="str">
            <v/>
          </cell>
          <cell r="BB124">
            <v>0</v>
          </cell>
          <cell r="BC124" t="str">
            <v/>
          </cell>
        </row>
        <row r="125">
          <cell r="AF125" t="str">
            <v/>
          </cell>
          <cell r="AG125" t="str">
            <v/>
          </cell>
          <cell r="AH125">
            <v>0</v>
          </cell>
          <cell r="AI125">
            <v>0</v>
          </cell>
          <cell r="AJ125" t="e">
            <v>#N/A</v>
          </cell>
          <cell r="AK125" t="e">
            <v>#N/A</v>
          </cell>
          <cell r="AL125" t="e">
            <v>#N/A</v>
          </cell>
          <cell r="AM125" t="str">
            <v/>
          </cell>
          <cell r="AN125">
            <v>0</v>
          </cell>
          <cell r="AO125" t="str">
            <v/>
          </cell>
          <cell r="AP125">
            <v>0</v>
          </cell>
          <cell r="AQ125" t="str">
            <v/>
          </cell>
          <cell r="AR125">
            <v>0</v>
          </cell>
          <cell r="AS125" t="str">
            <v/>
          </cell>
          <cell r="AT125" t="str">
            <v/>
          </cell>
          <cell r="AU125">
            <v>0</v>
          </cell>
          <cell r="AV125" t="str">
            <v/>
          </cell>
          <cell r="AW125" t="e">
            <v>#N/A</v>
          </cell>
          <cell r="AX125" t="e">
            <v>#N/A</v>
          </cell>
          <cell r="AY125" t="str">
            <v/>
          </cell>
          <cell r="AZ125">
            <v>0</v>
          </cell>
          <cell r="BA125" t="str">
            <v/>
          </cell>
          <cell r="BB125">
            <v>0</v>
          </cell>
          <cell r="BC125" t="str">
            <v/>
          </cell>
        </row>
        <row r="126">
          <cell r="AF126" t="str">
            <v/>
          </cell>
          <cell r="AG126" t="str">
            <v/>
          </cell>
          <cell r="AH126">
            <v>0</v>
          </cell>
          <cell r="AI126">
            <v>0</v>
          </cell>
          <cell r="AJ126" t="e">
            <v>#N/A</v>
          </cell>
          <cell r="AK126" t="e">
            <v>#N/A</v>
          </cell>
          <cell r="AL126" t="e">
            <v>#N/A</v>
          </cell>
          <cell r="AM126" t="str">
            <v/>
          </cell>
          <cell r="AN126">
            <v>0</v>
          </cell>
          <cell r="AO126" t="str">
            <v/>
          </cell>
          <cell r="AP126">
            <v>0</v>
          </cell>
          <cell r="AQ126" t="str">
            <v/>
          </cell>
          <cell r="AR126">
            <v>0</v>
          </cell>
          <cell r="AS126" t="str">
            <v/>
          </cell>
          <cell r="AT126" t="str">
            <v/>
          </cell>
          <cell r="AU126">
            <v>0</v>
          </cell>
          <cell r="AV126" t="str">
            <v/>
          </cell>
          <cell r="AW126" t="e">
            <v>#N/A</v>
          </cell>
          <cell r="AX126" t="e">
            <v>#N/A</v>
          </cell>
          <cell r="AY126" t="str">
            <v/>
          </cell>
          <cell r="AZ126">
            <v>0</v>
          </cell>
          <cell r="BA126" t="str">
            <v/>
          </cell>
          <cell r="BB126">
            <v>0</v>
          </cell>
          <cell r="BC126" t="str">
            <v/>
          </cell>
        </row>
        <row r="127">
          <cell r="AF127" t="str">
            <v/>
          </cell>
          <cell r="AG127" t="str">
            <v/>
          </cell>
          <cell r="AH127">
            <v>0</v>
          </cell>
          <cell r="AI127">
            <v>0</v>
          </cell>
          <cell r="AJ127" t="e">
            <v>#N/A</v>
          </cell>
          <cell r="AK127" t="e">
            <v>#N/A</v>
          </cell>
          <cell r="AL127" t="e">
            <v>#N/A</v>
          </cell>
          <cell r="AM127" t="str">
            <v/>
          </cell>
          <cell r="AN127">
            <v>0</v>
          </cell>
          <cell r="AO127" t="str">
            <v/>
          </cell>
          <cell r="AP127">
            <v>0</v>
          </cell>
          <cell r="AQ127" t="str">
            <v/>
          </cell>
          <cell r="AR127">
            <v>0</v>
          </cell>
          <cell r="AS127" t="str">
            <v/>
          </cell>
          <cell r="AT127" t="str">
            <v/>
          </cell>
          <cell r="AU127">
            <v>0</v>
          </cell>
          <cell r="AV127" t="str">
            <v/>
          </cell>
          <cell r="AW127" t="e">
            <v>#N/A</v>
          </cell>
          <cell r="AX127" t="e">
            <v>#N/A</v>
          </cell>
          <cell r="AY127" t="str">
            <v/>
          </cell>
          <cell r="AZ127">
            <v>0</v>
          </cell>
          <cell r="BA127" t="str">
            <v/>
          </cell>
          <cell r="BB127">
            <v>0</v>
          </cell>
          <cell r="BC127" t="str">
            <v/>
          </cell>
        </row>
        <row r="128">
          <cell r="AF128" t="str">
            <v/>
          </cell>
          <cell r="AG128" t="str">
            <v/>
          </cell>
          <cell r="AH128">
            <v>0</v>
          </cell>
          <cell r="AI128">
            <v>0</v>
          </cell>
          <cell r="AJ128" t="e">
            <v>#N/A</v>
          </cell>
          <cell r="AK128" t="e">
            <v>#N/A</v>
          </cell>
          <cell r="AL128" t="e">
            <v>#N/A</v>
          </cell>
          <cell r="AM128" t="str">
            <v/>
          </cell>
          <cell r="AN128">
            <v>0</v>
          </cell>
          <cell r="AO128" t="str">
            <v/>
          </cell>
          <cell r="AP128">
            <v>0</v>
          </cell>
          <cell r="AQ128" t="str">
            <v/>
          </cell>
          <cell r="AR128">
            <v>0</v>
          </cell>
          <cell r="AS128" t="str">
            <v/>
          </cell>
          <cell r="AT128" t="str">
            <v/>
          </cell>
          <cell r="AU128">
            <v>0</v>
          </cell>
          <cell r="AV128" t="str">
            <v/>
          </cell>
          <cell r="AW128" t="e">
            <v>#N/A</v>
          </cell>
          <cell r="AX128" t="e">
            <v>#N/A</v>
          </cell>
          <cell r="AY128" t="str">
            <v/>
          </cell>
          <cell r="AZ128">
            <v>0</v>
          </cell>
          <cell r="BA128" t="str">
            <v/>
          </cell>
          <cell r="BB128">
            <v>0</v>
          </cell>
          <cell r="BC128" t="str">
            <v/>
          </cell>
        </row>
        <row r="129">
          <cell r="AF129" t="str">
            <v/>
          </cell>
          <cell r="AG129" t="str">
            <v/>
          </cell>
          <cell r="AH129">
            <v>0</v>
          </cell>
          <cell r="AI129">
            <v>0</v>
          </cell>
          <cell r="AJ129" t="e">
            <v>#N/A</v>
          </cell>
          <cell r="AK129" t="e">
            <v>#N/A</v>
          </cell>
          <cell r="AL129" t="e">
            <v>#N/A</v>
          </cell>
          <cell r="AM129" t="str">
            <v/>
          </cell>
          <cell r="AN129">
            <v>0</v>
          </cell>
          <cell r="AO129" t="str">
            <v/>
          </cell>
          <cell r="AP129">
            <v>0</v>
          </cell>
          <cell r="AQ129" t="str">
            <v/>
          </cell>
          <cell r="AR129">
            <v>0</v>
          </cell>
          <cell r="AS129" t="str">
            <v/>
          </cell>
          <cell r="AT129" t="str">
            <v/>
          </cell>
          <cell r="AU129">
            <v>0</v>
          </cell>
          <cell r="AV129" t="str">
            <v/>
          </cell>
          <cell r="AW129" t="e">
            <v>#N/A</v>
          </cell>
          <cell r="AX129" t="e">
            <v>#N/A</v>
          </cell>
          <cell r="AY129" t="str">
            <v/>
          </cell>
          <cell r="AZ129">
            <v>0</v>
          </cell>
          <cell r="BA129" t="str">
            <v/>
          </cell>
          <cell r="BB129">
            <v>0</v>
          </cell>
          <cell r="BC129" t="str">
            <v/>
          </cell>
        </row>
        <row r="130">
          <cell r="AF130" t="str">
            <v/>
          </cell>
          <cell r="AG130" t="str">
            <v/>
          </cell>
          <cell r="AH130">
            <v>0</v>
          </cell>
          <cell r="AI130">
            <v>0</v>
          </cell>
          <cell r="AJ130" t="e">
            <v>#N/A</v>
          </cell>
          <cell r="AK130" t="e">
            <v>#N/A</v>
          </cell>
          <cell r="AL130" t="e">
            <v>#N/A</v>
          </cell>
          <cell r="AM130" t="str">
            <v/>
          </cell>
          <cell r="AN130">
            <v>0</v>
          </cell>
          <cell r="AO130" t="str">
            <v/>
          </cell>
          <cell r="AP130">
            <v>0</v>
          </cell>
          <cell r="AQ130" t="str">
            <v/>
          </cell>
          <cell r="AR130">
            <v>0</v>
          </cell>
          <cell r="AS130" t="str">
            <v/>
          </cell>
          <cell r="AT130" t="str">
            <v/>
          </cell>
          <cell r="AU130">
            <v>0</v>
          </cell>
          <cell r="AV130" t="str">
            <v/>
          </cell>
          <cell r="AW130" t="e">
            <v>#N/A</v>
          </cell>
          <cell r="AX130" t="e">
            <v>#N/A</v>
          </cell>
          <cell r="AY130" t="str">
            <v/>
          </cell>
          <cell r="AZ130">
            <v>0</v>
          </cell>
          <cell r="BA130" t="str">
            <v/>
          </cell>
          <cell r="BB130">
            <v>0</v>
          </cell>
          <cell r="BC130" t="str">
            <v/>
          </cell>
        </row>
        <row r="131">
          <cell r="AF131" t="str">
            <v/>
          </cell>
          <cell r="AG131" t="str">
            <v/>
          </cell>
          <cell r="AH131">
            <v>0</v>
          </cell>
          <cell r="AI131">
            <v>0</v>
          </cell>
          <cell r="AJ131" t="e">
            <v>#N/A</v>
          </cell>
          <cell r="AK131" t="e">
            <v>#N/A</v>
          </cell>
          <cell r="AL131" t="e">
            <v>#N/A</v>
          </cell>
          <cell r="AM131" t="str">
            <v/>
          </cell>
          <cell r="AN131">
            <v>0</v>
          </cell>
          <cell r="AO131" t="str">
            <v/>
          </cell>
          <cell r="AP131">
            <v>0</v>
          </cell>
          <cell r="AQ131" t="str">
            <v/>
          </cell>
          <cell r="AR131">
            <v>0</v>
          </cell>
          <cell r="AS131" t="str">
            <v/>
          </cell>
          <cell r="AT131" t="str">
            <v/>
          </cell>
          <cell r="AU131">
            <v>0</v>
          </cell>
          <cell r="AV131" t="str">
            <v/>
          </cell>
          <cell r="AW131" t="e">
            <v>#N/A</v>
          </cell>
          <cell r="AX131" t="e">
            <v>#N/A</v>
          </cell>
          <cell r="AY131" t="str">
            <v/>
          </cell>
          <cell r="AZ131">
            <v>0</v>
          </cell>
          <cell r="BA131" t="str">
            <v/>
          </cell>
          <cell r="BB131">
            <v>0</v>
          </cell>
          <cell r="BC131" t="str">
            <v/>
          </cell>
        </row>
        <row r="132">
          <cell r="AF132" t="str">
            <v/>
          </cell>
          <cell r="AG132" t="str">
            <v/>
          </cell>
          <cell r="AH132">
            <v>0</v>
          </cell>
          <cell r="AI132">
            <v>0</v>
          </cell>
          <cell r="AJ132" t="e">
            <v>#N/A</v>
          </cell>
          <cell r="AK132" t="e">
            <v>#N/A</v>
          </cell>
          <cell r="AL132" t="e">
            <v>#N/A</v>
          </cell>
          <cell r="AM132" t="str">
            <v/>
          </cell>
          <cell r="AN132">
            <v>0</v>
          </cell>
          <cell r="AO132" t="str">
            <v/>
          </cell>
          <cell r="AP132">
            <v>0</v>
          </cell>
          <cell r="AQ132" t="str">
            <v/>
          </cell>
          <cell r="AR132">
            <v>0</v>
          </cell>
          <cell r="AS132" t="str">
            <v/>
          </cell>
          <cell r="AT132" t="str">
            <v/>
          </cell>
          <cell r="AU132">
            <v>0</v>
          </cell>
          <cell r="AV132" t="str">
            <v/>
          </cell>
          <cell r="AW132" t="e">
            <v>#N/A</v>
          </cell>
          <cell r="AX132" t="e">
            <v>#N/A</v>
          </cell>
          <cell r="AY132" t="str">
            <v/>
          </cell>
          <cell r="AZ132">
            <v>0</v>
          </cell>
          <cell r="BA132" t="str">
            <v/>
          </cell>
          <cell r="BB132">
            <v>0</v>
          </cell>
          <cell r="BC132" t="str">
            <v/>
          </cell>
        </row>
        <row r="133">
          <cell r="AF133" t="str">
            <v/>
          </cell>
          <cell r="AG133" t="str">
            <v/>
          </cell>
          <cell r="AH133">
            <v>0</v>
          </cell>
          <cell r="AI133">
            <v>0</v>
          </cell>
          <cell r="AJ133" t="e">
            <v>#N/A</v>
          </cell>
          <cell r="AK133" t="e">
            <v>#N/A</v>
          </cell>
          <cell r="AL133" t="e">
            <v>#N/A</v>
          </cell>
          <cell r="AM133" t="str">
            <v/>
          </cell>
          <cell r="AN133">
            <v>0</v>
          </cell>
          <cell r="AO133" t="str">
            <v/>
          </cell>
          <cell r="AP133">
            <v>0</v>
          </cell>
          <cell r="AQ133" t="str">
            <v/>
          </cell>
          <cell r="AR133">
            <v>0</v>
          </cell>
          <cell r="AS133" t="str">
            <v/>
          </cell>
          <cell r="AT133" t="str">
            <v/>
          </cell>
          <cell r="AU133">
            <v>0</v>
          </cell>
          <cell r="AV133" t="str">
            <v/>
          </cell>
          <cell r="AW133" t="e">
            <v>#N/A</v>
          </cell>
          <cell r="AX133" t="e">
            <v>#N/A</v>
          </cell>
          <cell r="AY133" t="str">
            <v/>
          </cell>
          <cell r="AZ133">
            <v>0</v>
          </cell>
          <cell r="BA133" t="str">
            <v/>
          </cell>
          <cell r="BB133">
            <v>0</v>
          </cell>
          <cell r="BC133" t="str">
            <v/>
          </cell>
        </row>
        <row r="134">
          <cell r="AF134" t="str">
            <v/>
          </cell>
          <cell r="AG134" t="str">
            <v/>
          </cell>
          <cell r="AH134">
            <v>0</v>
          </cell>
          <cell r="AI134">
            <v>0</v>
          </cell>
          <cell r="AJ134" t="e">
            <v>#N/A</v>
          </cell>
          <cell r="AK134" t="e">
            <v>#N/A</v>
          </cell>
          <cell r="AL134" t="e">
            <v>#N/A</v>
          </cell>
          <cell r="AM134" t="str">
            <v/>
          </cell>
          <cell r="AN134">
            <v>0</v>
          </cell>
          <cell r="AO134" t="str">
            <v/>
          </cell>
          <cell r="AP134">
            <v>0</v>
          </cell>
          <cell r="AQ134" t="str">
            <v/>
          </cell>
          <cell r="AR134">
            <v>0</v>
          </cell>
          <cell r="AS134" t="str">
            <v/>
          </cell>
          <cell r="AT134" t="str">
            <v/>
          </cell>
          <cell r="AU134">
            <v>0</v>
          </cell>
          <cell r="AV134" t="str">
            <v/>
          </cell>
          <cell r="AW134" t="e">
            <v>#N/A</v>
          </cell>
          <cell r="AX134" t="e">
            <v>#N/A</v>
          </cell>
          <cell r="AY134" t="str">
            <v/>
          </cell>
          <cell r="AZ134">
            <v>0</v>
          </cell>
          <cell r="BA134" t="str">
            <v/>
          </cell>
          <cell r="BB134">
            <v>0</v>
          </cell>
          <cell r="BC134" t="str">
            <v/>
          </cell>
        </row>
        <row r="135">
          <cell r="AF135" t="str">
            <v/>
          </cell>
          <cell r="AG135" t="str">
            <v/>
          </cell>
          <cell r="AH135">
            <v>0</v>
          </cell>
          <cell r="AI135">
            <v>0</v>
          </cell>
          <cell r="AJ135" t="e">
            <v>#N/A</v>
          </cell>
          <cell r="AK135" t="e">
            <v>#N/A</v>
          </cell>
          <cell r="AL135" t="e">
            <v>#N/A</v>
          </cell>
          <cell r="AM135" t="str">
            <v/>
          </cell>
          <cell r="AN135">
            <v>0</v>
          </cell>
          <cell r="AO135" t="str">
            <v/>
          </cell>
          <cell r="AP135">
            <v>0</v>
          </cell>
          <cell r="AQ135" t="str">
            <v/>
          </cell>
          <cell r="AR135">
            <v>0</v>
          </cell>
          <cell r="AS135" t="str">
            <v/>
          </cell>
          <cell r="AT135" t="str">
            <v/>
          </cell>
          <cell r="AU135">
            <v>0</v>
          </cell>
          <cell r="AV135" t="str">
            <v/>
          </cell>
          <cell r="AW135" t="e">
            <v>#N/A</v>
          </cell>
          <cell r="AX135" t="e">
            <v>#N/A</v>
          </cell>
          <cell r="AY135" t="str">
            <v/>
          </cell>
          <cell r="AZ135">
            <v>0</v>
          </cell>
          <cell r="BA135" t="str">
            <v/>
          </cell>
          <cell r="BB135">
            <v>0</v>
          </cell>
          <cell r="BC135" t="str">
            <v/>
          </cell>
        </row>
        <row r="136">
          <cell r="AF136" t="str">
            <v/>
          </cell>
          <cell r="AG136" t="str">
            <v/>
          </cell>
          <cell r="AH136">
            <v>0</v>
          </cell>
          <cell r="AI136">
            <v>0</v>
          </cell>
          <cell r="AJ136" t="e">
            <v>#N/A</v>
          </cell>
          <cell r="AK136" t="e">
            <v>#N/A</v>
          </cell>
          <cell r="AL136" t="e">
            <v>#N/A</v>
          </cell>
          <cell r="AM136" t="str">
            <v/>
          </cell>
          <cell r="AN136">
            <v>0</v>
          </cell>
          <cell r="AO136" t="str">
            <v/>
          </cell>
          <cell r="AP136">
            <v>0</v>
          </cell>
          <cell r="AQ136" t="str">
            <v/>
          </cell>
          <cell r="AR136">
            <v>0</v>
          </cell>
          <cell r="AS136" t="str">
            <v/>
          </cell>
          <cell r="AT136" t="str">
            <v/>
          </cell>
          <cell r="AU136">
            <v>0</v>
          </cell>
          <cell r="AV136" t="str">
            <v/>
          </cell>
          <cell r="AW136" t="e">
            <v>#N/A</v>
          </cell>
          <cell r="AX136" t="e">
            <v>#N/A</v>
          </cell>
          <cell r="AY136" t="str">
            <v/>
          </cell>
          <cell r="AZ136">
            <v>0</v>
          </cell>
          <cell r="BA136" t="str">
            <v/>
          </cell>
          <cell r="BB136">
            <v>0</v>
          </cell>
          <cell r="BC136" t="str">
            <v/>
          </cell>
        </row>
        <row r="158">
          <cell r="F158">
            <v>0</v>
          </cell>
          <cell r="G158">
            <v>0</v>
          </cell>
          <cell r="H158">
            <v>0</v>
          </cell>
        </row>
        <row r="185">
          <cell r="G185">
            <v>0</v>
          </cell>
          <cell r="H185">
            <v>0</v>
          </cell>
          <cell r="I185">
            <v>0</v>
          </cell>
        </row>
        <row r="211">
          <cell r="G211">
            <v>0</v>
          </cell>
          <cell r="H211">
            <v>0</v>
          </cell>
          <cell r="I211">
            <v>0</v>
          </cell>
        </row>
        <row r="241">
          <cell r="G241">
            <v>0</v>
          </cell>
          <cell r="H241">
            <v>0</v>
          </cell>
          <cell r="I241">
            <v>0</v>
          </cell>
        </row>
        <row r="250">
          <cell r="F250">
            <v>0</v>
          </cell>
        </row>
      </sheetData>
      <sheetData sheetId="19" refreshError="1"/>
      <sheetData sheetId="20" refreshError="1">
        <row r="46">
          <cell r="K46" t="str">
            <v>Energia</v>
          </cell>
          <cell r="L46" t="str">
            <v>Manufatura ou Construção</v>
          </cell>
          <cell r="M46" t="str">
            <v>Comercial ou Institucional</v>
          </cell>
          <cell r="N46" t="str">
            <v>Residencial, Agricultura, Florestal ou Pesca</v>
          </cell>
          <cell r="O46" t="str">
            <v>Energia</v>
          </cell>
          <cell r="P46" t="str">
            <v>Manufatura ou Construção</v>
          </cell>
          <cell r="Q46" t="str">
            <v>Comercial ou Institucional</v>
          </cell>
          <cell r="R46" t="str">
            <v>Residencial, Agricultura, Florestal ou Pesca</v>
          </cell>
        </row>
        <row r="47">
          <cell r="B47">
            <v>2</v>
          </cell>
          <cell r="C47" t="str">
            <v>Alcatrão</v>
          </cell>
          <cell r="D47" t="str">
            <v>Coal Tar</v>
          </cell>
          <cell r="E47" t="str">
            <v>m³</v>
          </cell>
          <cell r="F47">
            <v>35.797139999999999</v>
          </cell>
          <cell r="G47">
            <v>1000</v>
          </cell>
          <cell r="H47" t="str">
            <v>BEN 2012</v>
          </cell>
          <cell r="I47">
            <v>94600</v>
          </cell>
          <cell r="J47" t="str">
            <v>MCT 2010</v>
          </cell>
          <cell r="K47">
            <v>1</v>
          </cell>
          <cell r="L47">
            <v>10</v>
          </cell>
          <cell r="M47">
            <v>10</v>
          </cell>
          <cell r="N47">
            <v>300</v>
          </cell>
          <cell r="O47">
            <v>1.5</v>
          </cell>
          <cell r="P47">
            <v>1.5</v>
          </cell>
          <cell r="Q47">
            <v>1.5</v>
          </cell>
          <cell r="R47">
            <v>1.5</v>
          </cell>
          <cell r="T47">
            <v>3386.4094439999994</v>
          </cell>
          <cell r="U47">
            <v>3.5797139999999998E-2</v>
          </cell>
          <cell r="V47">
            <v>0.35797140000000005</v>
          </cell>
          <cell r="W47">
            <v>0.35797140000000005</v>
          </cell>
          <cell r="X47">
            <v>10.739141999999999</v>
          </cell>
          <cell r="Y47">
            <v>5.3695710000000001E-2</v>
          </cell>
          <cell r="Z47">
            <v>5.3695710000000001E-2</v>
          </cell>
          <cell r="AA47">
            <v>5.3695710000000001E-2</v>
          </cell>
          <cell r="AB47">
            <v>5.3695710000000001E-2</v>
          </cell>
        </row>
        <row r="48">
          <cell r="B48">
            <v>3</v>
          </cell>
          <cell r="C48" t="str">
            <v>Asfaltos</v>
          </cell>
          <cell r="D48" t="str">
            <v>Bitumen</v>
          </cell>
          <cell r="E48" t="str">
            <v>m³</v>
          </cell>
          <cell r="F48">
            <v>40.988771999999997</v>
          </cell>
          <cell r="G48">
            <v>1025</v>
          </cell>
          <cell r="H48" t="str">
            <v>BEN 2012</v>
          </cell>
          <cell r="I48">
            <v>80700</v>
          </cell>
          <cell r="J48" t="str">
            <v>MCT 2010</v>
          </cell>
          <cell r="K48">
            <v>3</v>
          </cell>
          <cell r="L48">
            <v>3</v>
          </cell>
          <cell r="M48">
            <v>10</v>
          </cell>
          <cell r="N48">
            <v>10</v>
          </cell>
          <cell r="O48">
            <v>0.6</v>
          </cell>
          <cell r="P48">
            <v>0.6</v>
          </cell>
          <cell r="Q48">
            <v>0.6</v>
          </cell>
          <cell r="R48">
            <v>0.6</v>
          </cell>
          <cell r="T48">
            <v>3390.4887479099998</v>
          </cell>
          <cell r="U48">
            <v>0.12604047390000001</v>
          </cell>
          <cell r="V48">
            <v>0.12604047390000001</v>
          </cell>
          <cell r="W48">
            <v>0.42013491299999994</v>
          </cell>
          <cell r="X48">
            <v>0.42013491299999994</v>
          </cell>
          <cell r="Y48">
            <v>2.5208094779999999E-2</v>
          </cell>
          <cell r="Z48">
            <v>2.5208094779999999E-2</v>
          </cell>
          <cell r="AA48">
            <v>2.5208094779999999E-2</v>
          </cell>
          <cell r="AB48">
            <v>2.5208094779999999E-2</v>
          </cell>
        </row>
        <row r="49">
          <cell r="B49">
            <v>4</v>
          </cell>
          <cell r="C49" t="str">
            <v>Carvão Metalúrgico Importado</v>
          </cell>
          <cell r="D49" t="str">
            <v>Coking Coal</v>
          </cell>
          <cell r="E49" t="str">
            <v>Toneladas</v>
          </cell>
          <cell r="F49">
            <v>30.982320000000001</v>
          </cell>
          <cell r="G49">
            <v>1000</v>
          </cell>
          <cell r="H49" t="str">
            <v>BEN 2012</v>
          </cell>
          <cell r="I49">
            <v>94600</v>
          </cell>
          <cell r="J49" t="str">
            <v>MCT 2010</v>
          </cell>
          <cell r="K49">
            <v>1</v>
          </cell>
          <cell r="L49">
            <v>10</v>
          </cell>
          <cell r="M49">
            <v>10</v>
          </cell>
          <cell r="N49">
            <v>300</v>
          </cell>
          <cell r="O49">
            <v>1.5</v>
          </cell>
          <cell r="P49">
            <v>1.5</v>
          </cell>
          <cell r="Q49">
            <v>1.5</v>
          </cell>
          <cell r="R49">
            <v>1.5</v>
          </cell>
          <cell r="T49">
            <v>2930.9274719999999</v>
          </cell>
          <cell r="U49">
            <v>3.0982320000000001E-2</v>
          </cell>
          <cell r="V49">
            <v>0.30982320000000008</v>
          </cell>
          <cell r="W49">
            <v>0.30982320000000008</v>
          </cell>
          <cell r="X49">
            <v>9.2946960000000001</v>
          </cell>
          <cell r="Y49">
            <v>4.6473480000000005E-2</v>
          </cell>
          <cell r="Z49">
            <v>4.6473480000000005E-2</v>
          </cell>
          <cell r="AA49">
            <v>4.6473480000000005E-2</v>
          </cell>
          <cell r="AB49">
            <v>4.6473480000000005E-2</v>
          </cell>
        </row>
        <row r="50">
          <cell r="B50">
            <v>5</v>
          </cell>
          <cell r="C50" t="str">
            <v>Carvão Metalúrgico Nacional</v>
          </cell>
          <cell r="D50" t="str">
            <v>Coking Coal</v>
          </cell>
          <cell r="E50" t="str">
            <v>Toneladas</v>
          </cell>
          <cell r="F50">
            <v>26.879255999999998</v>
          </cell>
          <cell r="G50">
            <v>1000</v>
          </cell>
          <cell r="H50" t="str">
            <v>BEN 2012</v>
          </cell>
          <cell r="I50">
            <v>94600</v>
          </cell>
          <cell r="J50" t="str">
            <v>MCT 2010</v>
          </cell>
          <cell r="K50">
            <v>1</v>
          </cell>
          <cell r="L50">
            <v>10</v>
          </cell>
          <cell r="M50">
            <v>10</v>
          </cell>
          <cell r="N50">
            <v>300</v>
          </cell>
          <cell r="O50">
            <v>1.5</v>
          </cell>
          <cell r="P50">
            <v>1.5</v>
          </cell>
          <cell r="Q50">
            <v>1.5</v>
          </cell>
          <cell r="R50">
            <v>1.5</v>
          </cell>
          <cell r="T50">
            <v>2542.7776175999998</v>
          </cell>
          <cell r="U50">
            <v>2.6879255999999997E-2</v>
          </cell>
          <cell r="V50">
            <v>0.26879256000000001</v>
          </cell>
          <cell r="W50">
            <v>0.26879256000000001</v>
          </cell>
          <cell r="X50">
            <v>8.0637767999999994</v>
          </cell>
          <cell r="Y50">
            <v>4.0318883999999999E-2</v>
          </cell>
          <cell r="Z50">
            <v>4.0318883999999999E-2</v>
          </cell>
          <cell r="AA50">
            <v>4.0318883999999999E-2</v>
          </cell>
          <cell r="AB50">
            <v>4.0318883999999999E-2</v>
          </cell>
        </row>
        <row r="51">
          <cell r="B51">
            <v>6</v>
          </cell>
          <cell r="C51" t="str">
            <v>Carvão Vapor 3100 kcal / kg</v>
          </cell>
          <cell r="D51" t="str">
            <v>Other Bituminous Coal</v>
          </cell>
          <cell r="E51" t="str">
            <v>Toneladas</v>
          </cell>
          <cell r="F51">
            <v>12.35106</v>
          </cell>
          <cell r="G51">
            <v>1000</v>
          </cell>
          <cell r="H51" t="str">
            <v>BEN 2012</v>
          </cell>
          <cell r="I51">
            <v>94600</v>
          </cell>
          <cell r="J51" t="str">
            <v>MCT 2010</v>
          </cell>
          <cell r="K51">
            <v>1</v>
          </cell>
          <cell r="L51">
            <v>10</v>
          </cell>
          <cell r="M51">
            <v>10</v>
          </cell>
          <cell r="N51">
            <v>300</v>
          </cell>
          <cell r="O51">
            <v>1.5</v>
          </cell>
          <cell r="P51">
            <v>1.5</v>
          </cell>
          <cell r="Q51">
            <v>1.5</v>
          </cell>
          <cell r="R51">
            <v>1.5</v>
          </cell>
          <cell r="T51">
            <v>1168.4102760000001</v>
          </cell>
          <cell r="U51">
            <v>1.2351059999999999E-2</v>
          </cell>
          <cell r="V51">
            <v>0.12351060000000001</v>
          </cell>
          <cell r="W51">
            <v>0.12351060000000001</v>
          </cell>
          <cell r="X51">
            <v>3.7053180000000001</v>
          </cell>
          <cell r="Y51">
            <v>1.8526589999999999E-2</v>
          </cell>
          <cell r="Z51">
            <v>1.8526589999999999E-2</v>
          </cell>
          <cell r="AA51">
            <v>1.8526589999999999E-2</v>
          </cell>
          <cell r="AB51">
            <v>1.8526589999999999E-2</v>
          </cell>
        </row>
        <row r="52">
          <cell r="B52">
            <v>7</v>
          </cell>
          <cell r="C52" t="str">
            <v>Carvão Vapor 3300 kcal / kg</v>
          </cell>
          <cell r="D52" t="str">
            <v>Other Bituminous Coal</v>
          </cell>
          <cell r="E52" t="str">
            <v>Toneladas</v>
          </cell>
          <cell r="F52">
            <v>12.97908</v>
          </cell>
          <cell r="G52">
            <v>1000</v>
          </cell>
          <cell r="H52" t="str">
            <v>BEN 2012</v>
          </cell>
          <cell r="I52">
            <v>94600</v>
          </cell>
          <cell r="J52" t="str">
            <v>MCT 2010</v>
          </cell>
          <cell r="K52">
            <v>1</v>
          </cell>
          <cell r="L52">
            <v>10</v>
          </cell>
          <cell r="M52">
            <v>10</v>
          </cell>
          <cell r="N52">
            <v>300</v>
          </cell>
          <cell r="O52">
            <v>1.5</v>
          </cell>
          <cell r="P52">
            <v>1.5</v>
          </cell>
          <cell r="Q52">
            <v>1.5</v>
          </cell>
          <cell r="R52">
            <v>1.5</v>
          </cell>
          <cell r="T52">
            <v>1227.8209679999998</v>
          </cell>
          <cell r="U52">
            <v>1.297908E-2</v>
          </cell>
          <cell r="V52">
            <v>0.12979079999999998</v>
          </cell>
          <cell r="W52">
            <v>0.12979079999999998</v>
          </cell>
          <cell r="X52">
            <v>3.8937239999999997</v>
          </cell>
          <cell r="Y52">
            <v>1.9468620000000002E-2</v>
          </cell>
          <cell r="Z52">
            <v>1.9468620000000002E-2</v>
          </cell>
          <cell r="AA52">
            <v>1.9468620000000002E-2</v>
          </cell>
          <cell r="AB52">
            <v>1.9468620000000002E-2</v>
          </cell>
        </row>
        <row r="53">
          <cell r="B53">
            <v>8</v>
          </cell>
          <cell r="C53" t="str">
            <v>Carvão Vapor 3700 kcal / kg</v>
          </cell>
          <cell r="D53" t="str">
            <v>Other Bituminous Coal</v>
          </cell>
          <cell r="E53" t="str">
            <v>Toneladas</v>
          </cell>
          <cell r="F53">
            <v>14.653799999999999</v>
          </cell>
          <cell r="G53">
            <v>1000</v>
          </cell>
          <cell r="H53" t="str">
            <v>BEN 2012</v>
          </cell>
          <cell r="I53">
            <v>94600</v>
          </cell>
          <cell r="J53" t="str">
            <v>MCT 2010</v>
          </cell>
          <cell r="K53">
            <v>1</v>
          </cell>
          <cell r="L53">
            <v>10</v>
          </cell>
          <cell r="M53">
            <v>10</v>
          </cell>
          <cell r="N53">
            <v>300</v>
          </cell>
          <cell r="O53">
            <v>1.5</v>
          </cell>
          <cell r="P53">
            <v>1.5</v>
          </cell>
          <cell r="Q53">
            <v>1.5</v>
          </cell>
          <cell r="R53">
            <v>1.5</v>
          </cell>
          <cell r="T53">
            <v>1386.2494799999999</v>
          </cell>
          <cell r="U53">
            <v>1.46538E-2</v>
          </cell>
          <cell r="V53">
            <v>0.14653799999999997</v>
          </cell>
          <cell r="W53">
            <v>0.14653799999999997</v>
          </cell>
          <cell r="X53">
            <v>4.396139999999999</v>
          </cell>
          <cell r="Y53">
            <v>2.1980699999999995E-2</v>
          </cell>
          <cell r="Z53">
            <v>2.1980699999999995E-2</v>
          </cell>
          <cell r="AA53">
            <v>2.1980699999999995E-2</v>
          </cell>
          <cell r="AB53">
            <v>2.1980699999999995E-2</v>
          </cell>
        </row>
        <row r="54">
          <cell r="B54">
            <v>9</v>
          </cell>
          <cell r="C54" t="str">
            <v>Carvão Vapor 4200 kcal / kg</v>
          </cell>
          <cell r="D54" t="str">
            <v>Other Bituminous Coal</v>
          </cell>
          <cell r="E54" t="str">
            <v>Toneladas</v>
          </cell>
          <cell r="F54">
            <v>16.747199999999999</v>
          </cell>
          <cell r="G54">
            <v>1000</v>
          </cell>
          <cell r="H54" t="str">
            <v>BEN 2012</v>
          </cell>
          <cell r="I54">
            <v>94600</v>
          </cell>
          <cell r="J54" t="str">
            <v>MCT 2010</v>
          </cell>
          <cell r="K54">
            <v>1</v>
          </cell>
          <cell r="L54">
            <v>10</v>
          </cell>
          <cell r="M54">
            <v>10</v>
          </cell>
          <cell r="N54">
            <v>300</v>
          </cell>
          <cell r="O54">
            <v>1.5</v>
          </cell>
          <cell r="P54">
            <v>1.5</v>
          </cell>
          <cell r="Q54">
            <v>1.5</v>
          </cell>
          <cell r="R54">
            <v>1.5</v>
          </cell>
          <cell r="T54">
            <v>1584.2851199999998</v>
          </cell>
          <cell r="U54">
            <v>1.67472E-2</v>
          </cell>
          <cell r="V54">
            <v>0.16747199999999998</v>
          </cell>
          <cell r="W54">
            <v>0.16747199999999998</v>
          </cell>
          <cell r="X54">
            <v>5.0241600000000002</v>
          </cell>
          <cell r="Y54">
            <v>2.5120799999999999E-2</v>
          </cell>
          <cell r="Z54">
            <v>2.5120799999999999E-2</v>
          </cell>
          <cell r="AA54">
            <v>2.5120799999999999E-2</v>
          </cell>
          <cell r="AB54">
            <v>2.5120799999999999E-2</v>
          </cell>
        </row>
        <row r="55">
          <cell r="B55">
            <v>10</v>
          </cell>
          <cell r="C55" t="str">
            <v>Carvão Vapor 4500 kcal / kg</v>
          </cell>
          <cell r="D55" t="str">
            <v>Other Bituminous Coal</v>
          </cell>
          <cell r="E55" t="str">
            <v>Toneladas</v>
          </cell>
          <cell r="F55">
            <v>17.793899999999997</v>
          </cell>
          <cell r="G55">
            <v>1000</v>
          </cell>
          <cell r="H55" t="str">
            <v>BEN 2012</v>
          </cell>
          <cell r="I55">
            <v>94600</v>
          </cell>
          <cell r="J55" t="str">
            <v>MCT 2010</v>
          </cell>
          <cell r="K55">
            <v>1</v>
          </cell>
          <cell r="L55">
            <v>10</v>
          </cell>
          <cell r="M55">
            <v>10</v>
          </cell>
          <cell r="N55">
            <v>300</v>
          </cell>
          <cell r="O55">
            <v>1.5</v>
          </cell>
          <cell r="P55">
            <v>1.5</v>
          </cell>
          <cell r="Q55">
            <v>1.5</v>
          </cell>
          <cell r="R55">
            <v>1.5</v>
          </cell>
          <cell r="T55">
            <v>1683.3029399999998</v>
          </cell>
          <cell r="U55">
            <v>1.7793899999999998E-2</v>
          </cell>
          <cell r="V55">
            <v>0.17793899999999996</v>
          </cell>
          <cell r="W55">
            <v>0.17793899999999996</v>
          </cell>
          <cell r="X55">
            <v>5.338169999999999</v>
          </cell>
          <cell r="Y55">
            <v>2.6690849999999999E-2</v>
          </cell>
          <cell r="Z55">
            <v>2.6690849999999999E-2</v>
          </cell>
          <cell r="AA55">
            <v>2.6690849999999999E-2</v>
          </cell>
          <cell r="AB55">
            <v>2.6690849999999999E-2</v>
          </cell>
        </row>
        <row r="56">
          <cell r="B56">
            <v>11</v>
          </cell>
          <cell r="C56" t="str">
            <v>Carvão Vapor 4700 kcal / kg</v>
          </cell>
          <cell r="D56" t="str">
            <v>Other Bituminous Coal</v>
          </cell>
          <cell r="E56" t="str">
            <v>Toneladas</v>
          </cell>
          <cell r="F56">
            <v>18.631259999999997</v>
          </cell>
          <cell r="G56">
            <v>1000</v>
          </cell>
          <cell r="H56" t="str">
            <v>BEN 2012</v>
          </cell>
          <cell r="I56">
            <v>94600</v>
          </cell>
          <cell r="J56" t="str">
            <v>MCT 2010</v>
          </cell>
          <cell r="K56">
            <v>1</v>
          </cell>
          <cell r="L56">
            <v>10</v>
          </cell>
          <cell r="M56">
            <v>10</v>
          </cell>
          <cell r="N56">
            <v>300</v>
          </cell>
          <cell r="O56">
            <v>1.5</v>
          </cell>
          <cell r="P56">
            <v>1.5</v>
          </cell>
          <cell r="Q56">
            <v>1.5</v>
          </cell>
          <cell r="R56">
            <v>1.5</v>
          </cell>
          <cell r="T56">
            <v>1762.5171959999998</v>
          </cell>
          <cell r="U56">
            <v>1.8631259999999997E-2</v>
          </cell>
          <cell r="V56">
            <v>0.18631259999999997</v>
          </cell>
          <cell r="W56">
            <v>0.18631259999999997</v>
          </cell>
          <cell r="X56">
            <v>5.5893779999999991</v>
          </cell>
          <cell r="Y56">
            <v>2.7946889999999995E-2</v>
          </cell>
          <cell r="Z56">
            <v>2.7946889999999995E-2</v>
          </cell>
          <cell r="AA56">
            <v>2.7946889999999995E-2</v>
          </cell>
          <cell r="AB56">
            <v>2.7946889999999995E-2</v>
          </cell>
        </row>
        <row r="57">
          <cell r="B57">
            <v>12</v>
          </cell>
          <cell r="C57" t="str">
            <v>Carvão Vapor 5200 kcal / kg</v>
          </cell>
          <cell r="D57" t="str">
            <v>Other Bituminous Coal</v>
          </cell>
          <cell r="E57" t="str">
            <v>Toneladas</v>
          </cell>
          <cell r="F57">
            <v>20.515319999999999</v>
          </cell>
          <cell r="G57">
            <v>1000</v>
          </cell>
          <cell r="H57" t="str">
            <v>BEN 2012</v>
          </cell>
          <cell r="I57">
            <v>94600</v>
          </cell>
          <cell r="J57" t="str">
            <v>MCT 2010</v>
          </cell>
          <cell r="K57">
            <v>1</v>
          </cell>
          <cell r="L57">
            <v>10</v>
          </cell>
          <cell r="M57">
            <v>10</v>
          </cell>
          <cell r="N57">
            <v>300</v>
          </cell>
          <cell r="O57">
            <v>1.5</v>
          </cell>
          <cell r="P57">
            <v>1.5</v>
          </cell>
          <cell r="Q57">
            <v>1.5</v>
          </cell>
          <cell r="R57">
            <v>1.5</v>
          </cell>
          <cell r="T57">
            <v>1940.749272</v>
          </cell>
          <cell r="U57">
            <v>2.051532E-2</v>
          </cell>
          <cell r="V57">
            <v>0.20515320000000001</v>
          </cell>
          <cell r="W57">
            <v>0.20515320000000001</v>
          </cell>
          <cell r="X57">
            <v>6.1545959999999997</v>
          </cell>
          <cell r="Y57">
            <v>3.0772979999999995E-2</v>
          </cell>
          <cell r="Z57">
            <v>3.0772979999999995E-2</v>
          </cell>
          <cell r="AA57">
            <v>3.0772979999999995E-2</v>
          </cell>
          <cell r="AB57">
            <v>3.0772979999999995E-2</v>
          </cell>
        </row>
        <row r="58">
          <cell r="B58">
            <v>13</v>
          </cell>
          <cell r="C58" t="str">
            <v>Carvão Vapor 5900 kcal / kg</v>
          </cell>
          <cell r="D58" t="str">
            <v>Other Bituminous Coal</v>
          </cell>
          <cell r="E58" t="str">
            <v>Toneladas</v>
          </cell>
          <cell r="F58">
            <v>23.446079999999998</v>
          </cell>
          <cell r="G58">
            <v>1000</v>
          </cell>
          <cell r="H58" t="str">
            <v>BEN 2012</v>
          </cell>
          <cell r="I58">
            <v>94600</v>
          </cell>
          <cell r="J58" t="str">
            <v>MCT 2010</v>
          </cell>
          <cell r="K58">
            <v>1</v>
          </cell>
          <cell r="L58">
            <v>10</v>
          </cell>
          <cell r="M58">
            <v>10</v>
          </cell>
          <cell r="N58">
            <v>300</v>
          </cell>
          <cell r="O58">
            <v>1.5</v>
          </cell>
          <cell r="P58">
            <v>1.5</v>
          </cell>
          <cell r="Q58">
            <v>1.5</v>
          </cell>
          <cell r="R58">
            <v>1.5</v>
          </cell>
          <cell r="T58">
            <v>2217.9991679999998</v>
          </cell>
          <cell r="U58">
            <v>2.3446079999999998E-2</v>
          </cell>
          <cell r="V58">
            <v>0.2344608</v>
          </cell>
          <cell r="W58">
            <v>0.2344608</v>
          </cell>
          <cell r="X58">
            <v>7.0338240000000001</v>
          </cell>
          <cell r="Y58">
            <v>3.5169120000000005E-2</v>
          </cell>
          <cell r="Z58">
            <v>3.5169120000000005E-2</v>
          </cell>
          <cell r="AA58">
            <v>3.5169120000000005E-2</v>
          </cell>
          <cell r="AB58">
            <v>3.5169120000000005E-2</v>
          </cell>
        </row>
        <row r="59">
          <cell r="B59">
            <v>14</v>
          </cell>
          <cell r="C59" t="str">
            <v>Carvão Vapor 6000 kcal / kg</v>
          </cell>
          <cell r="D59" t="str">
            <v>Other Bituminous Coal</v>
          </cell>
          <cell r="E59" t="str">
            <v>Toneladas</v>
          </cell>
          <cell r="F59">
            <v>23.864759999999997</v>
          </cell>
          <cell r="G59">
            <v>1000</v>
          </cell>
          <cell r="H59" t="str">
            <v>BEN 2012</v>
          </cell>
          <cell r="I59">
            <v>94600</v>
          </cell>
          <cell r="J59" t="str">
            <v>MCT 2010</v>
          </cell>
          <cell r="K59">
            <v>1</v>
          </cell>
          <cell r="L59">
            <v>10</v>
          </cell>
          <cell r="M59">
            <v>10</v>
          </cell>
          <cell r="N59">
            <v>300</v>
          </cell>
          <cell r="O59">
            <v>1.5</v>
          </cell>
          <cell r="P59">
            <v>1.5</v>
          </cell>
          <cell r="Q59">
            <v>1.5</v>
          </cell>
          <cell r="R59">
            <v>1.5</v>
          </cell>
          <cell r="T59">
            <v>2257.6062959999995</v>
          </cell>
          <cell r="U59">
            <v>2.3864759999999999E-2</v>
          </cell>
          <cell r="V59">
            <v>0.23864759999999996</v>
          </cell>
          <cell r="W59">
            <v>0.23864759999999996</v>
          </cell>
          <cell r="X59">
            <v>7.1594279999999992</v>
          </cell>
          <cell r="Y59">
            <v>3.5797139999999998E-2</v>
          </cell>
          <cell r="Z59">
            <v>3.5797139999999998E-2</v>
          </cell>
          <cell r="AA59">
            <v>3.5797139999999998E-2</v>
          </cell>
          <cell r="AB59">
            <v>3.5797139999999998E-2</v>
          </cell>
        </row>
        <row r="60">
          <cell r="B60">
            <v>15</v>
          </cell>
          <cell r="C60" t="str">
            <v>Carvão Vapor sem Especificação</v>
          </cell>
          <cell r="D60" t="str">
            <v>Other Bituminous Coal</v>
          </cell>
          <cell r="E60" t="str">
            <v>Toneladas</v>
          </cell>
          <cell r="F60">
            <v>11.932379999999998</v>
          </cell>
          <cell r="G60">
            <v>1000</v>
          </cell>
          <cell r="H60" t="str">
            <v>BEN 2012</v>
          </cell>
          <cell r="I60">
            <v>94600</v>
          </cell>
          <cell r="J60" t="str">
            <v>MCT 2010</v>
          </cell>
          <cell r="K60">
            <v>1</v>
          </cell>
          <cell r="L60">
            <v>10</v>
          </cell>
          <cell r="M60">
            <v>10</v>
          </cell>
          <cell r="N60">
            <v>300</v>
          </cell>
          <cell r="O60">
            <v>1.5</v>
          </cell>
          <cell r="P60">
            <v>1.5</v>
          </cell>
          <cell r="Q60">
            <v>1.5</v>
          </cell>
          <cell r="R60">
            <v>1.5</v>
          </cell>
          <cell r="T60">
            <v>1128.8031479999997</v>
          </cell>
          <cell r="U60">
            <v>1.1932379999999999E-2</v>
          </cell>
          <cell r="V60">
            <v>0.11932379999999998</v>
          </cell>
          <cell r="W60">
            <v>0.11932379999999998</v>
          </cell>
          <cell r="X60">
            <v>3.5797139999999996</v>
          </cell>
          <cell r="Y60">
            <v>1.7898569999999999E-2</v>
          </cell>
          <cell r="Z60">
            <v>1.7898569999999999E-2</v>
          </cell>
          <cell r="AA60">
            <v>1.7898569999999999E-2</v>
          </cell>
          <cell r="AB60">
            <v>1.7898569999999999E-2</v>
          </cell>
        </row>
        <row r="61">
          <cell r="B61">
            <v>16</v>
          </cell>
          <cell r="C61" t="str">
            <v>Coque de Carvão Mineral</v>
          </cell>
          <cell r="D61" t="str">
            <v>Coke Oven Coke and Lignite Coke</v>
          </cell>
          <cell r="E61" t="str">
            <v>Toneladas</v>
          </cell>
          <cell r="F61">
            <v>28.888919999999999</v>
          </cell>
          <cell r="G61">
            <v>1000</v>
          </cell>
          <cell r="H61" t="str">
            <v>BEN 2012</v>
          </cell>
          <cell r="I61">
            <v>107000</v>
          </cell>
          <cell r="J61" t="str">
            <v>MCT 2010</v>
          </cell>
          <cell r="K61">
            <v>1</v>
          </cell>
          <cell r="L61">
            <v>10</v>
          </cell>
          <cell r="M61">
            <v>10</v>
          </cell>
          <cell r="N61">
            <v>300</v>
          </cell>
          <cell r="O61">
            <v>1.5</v>
          </cell>
          <cell r="P61">
            <v>1.5</v>
          </cell>
          <cell r="Q61">
            <v>1.5</v>
          </cell>
          <cell r="R61">
            <v>1.5</v>
          </cell>
          <cell r="T61">
            <v>3091.1144399999998</v>
          </cell>
          <cell r="U61">
            <v>2.8888919999999998E-2</v>
          </cell>
          <cell r="V61">
            <v>0.28888919999999996</v>
          </cell>
          <cell r="W61">
            <v>0.28888919999999996</v>
          </cell>
          <cell r="X61">
            <v>8.6666760000000007</v>
          </cell>
          <cell r="Y61">
            <v>4.3333379999999998E-2</v>
          </cell>
          <cell r="Z61">
            <v>4.3333379999999998E-2</v>
          </cell>
          <cell r="AA61">
            <v>4.3333379999999998E-2</v>
          </cell>
          <cell r="AB61">
            <v>4.3333379999999998E-2</v>
          </cell>
        </row>
        <row r="62">
          <cell r="B62">
            <v>17</v>
          </cell>
          <cell r="C62" t="str">
            <v>Coque de Petróleo</v>
          </cell>
          <cell r="D62" t="str">
            <v>Petroleum Coke</v>
          </cell>
          <cell r="E62" t="str">
            <v>m³</v>
          </cell>
          <cell r="F62">
            <v>35.127251999999999</v>
          </cell>
          <cell r="G62">
            <v>1040</v>
          </cell>
          <cell r="H62" t="str">
            <v>BEN 2012</v>
          </cell>
          <cell r="I62">
            <v>97500</v>
          </cell>
          <cell r="J62" t="str">
            <v>MCT 2010</v>
          </cell>
          <cell r="K62">
            <v>3</v>
          </cell>
          <cell r="L62">
            <v>3</v>
          </cell>
          <cell r="M62">
            <v>10</v>
          </cell>
          <cell r="N62">
            <v>10</v>
          </cell>
          <cell r="O62">
            <v>0.6</v>
          </cell>
          <cell r="P62">
            <v>0.6</v>
          </cell>
          <cell r="Q62">
            <v>0.6</v>
          </cell>
          <cell r="R62">
            <v>0.6</v>
          </cell>
          <cell r="T62">
            <v>3561.9033527999995</v>
          </cell>
          <cell r="U62">
            <v>0.10959702623999999</v>
          </cell>
          <cell r="V62">
            <v>0.10959702623999999</v>
          </cell>
          <cell r="W62">
            <v>0.36532342079999996</v>
          </cell>
          <cell r="X62">
            <v>0.36532342079999996</v>
          </cell>
          <cell r="Y62">
            <v>2.1919405247999998E-2</v>
          </cell>
          <cell r="Z62">
            <v>2.1919405247999998E-2</v>
          </cell>
          <cell r="AA62">
            <v>2.1919405247999998E-2</v>
          </cell>
          <cell r="AB62">
            <v>2.1919405247999998E-2</v>
          </cell>
        </row>
        <row r="63">
          <cell r="B63">
            <v>18</v>
          </cell>
          <cell r="C63" t="str">
            <v>Etano</v>
          </cell>
          <cell r="D63" t="str">
            <v>Ethane</v>
          </cell>
          <cell r="E63" t="str">
            <v>Toneladas</v>
          </cell>
          <cell r="F63">
            <v>46.4</v>
          </cell>
          <cell r="G63">
            <v>1000</v>
          </cell>
          <cell r="H63" t="str">
            <v>IPCC 2006</v>
          </cell>
          <cell r="I63">
            <v>61600</v>
          </cell>
          <cell r="J63" t="str">
            <v>IPCC 2006</v>
          </cell>
          <cell r="K63">
            <v>1</v>
          </cell>
          <cell r="L63">
            <v>1</v>
          </cell>
          <cell r="M63">
            <v>5</v>
          </cell>
          <cell r="N63">
            <v>5</v>
          </cell>
          <cell r="O63">
            <v>0.1</v>
          </cell>
          <cell r="P63">
            <v>0.1</v>
          </cell>
          <cell r="Q63">
            <v>0.1</v>
          </cell>
          <cell r="R63">
            <v>0.1</v>
          </cell>
          <cell r="T63">
            <v>2858.24</v>
          </cell>
          <cell r="U63">
            <v>4.6399999999999997E-2</v>
          </cell>
          <cell r="V63">
            <v>4.6399999999999997E-2</v>
          </cell>
          <cell r="W63">
            <v>0.23200000000000001</v>
          </cell>
          <cell r="X63">
            <v>0.23200000000000001</v>
          </cell>
          <cell r="Y63">
            <v>4.64E-3</v>
          </cell>
          <cell r="Z63">
            <v>4.64E-3</v>
          </cell>
          <cell r="AA63">
            <v>4.64E-3</v>
          </cell>
          <cell r="AB63">
            <v>4.64E-3</v>
          </cell>
        </row>
        <row r="64">
          <cell r="B64">
            <v>19</v>
          </cell>
          <cell r="C64" t="str">
            <v>Gás de Coqueria</v>
          </cell>
          <cell r="D64" t="str">
            <v>Coke Oven Gas</v>
          </cell>
          <cell r="E64" t="str">
            <v>Toneladas</v>
          </cell>
          <cell r="F64">
            <v>38.700000000000003</v>
          </cell>
          <cell r="G64">
            <v>1000</v>
          </cell>
          <cell r="H64" t="str">
            <v>IPCC 2006</v>
          </cell>
          <cell r="I64">
            <v>44400</v>
          </cell>
          <cell r="J64" t="str">
            <v>IPCC 2006</v>
          </cell>
          <cell r="K64">
            <v>1</v>
          </cell>
          <cell r="L64">
            <v>1</v>
          </cell>
          <cell r="M64">
            <v>5</v>
          </cell>
          <cell r="N64">
            <v>5</v>
          </cell>
          <cell r="O64">
            <v>0.1</v>
          </cell>
          <cell r="P64">
            <v>0.1</v>
          </cell>
          <cell r="Q64">
            <v>0.1</v>
          </cell>
          <cell r="R64">
            <v>0.1</v>
          </cell>
          <cell r="T64">
            <v>1718.2800000000002</v>
          </cell>
          <cell r="U64">
            <v>3.8699999999999998E-2</v>
          </cell>
          <cell r="V64">
            <v>3.8699999999999998E-2</v>
          </cell>
          <cell r="W64">
            <v>0.19350000000000001</v>
          </cell>
          <cell r="X64">
            <v>0.19350000000000001</v>
          </cell>
          <cell r="Y64">
            <v>3.8700000000000006E-3</v>
          </cell>
          <cell r="Z64">
            <v>3.8700000000000006E-3</v>
          </cell>
          <cell r="AA64">
            <v>3.8700000000000006E-3</v>
          </cell>
          <cell r="AB64">
            <v>3.8700000000000006E-3</v>
          </cell>
        </row>
        <row r="65">
          <cell r="B65">
            <v>20</v>
          </cell>
          <cell r="C65" t="str">
            <v>Gás de Refinaria</v>
          </cell>
          <cell r="D65" t="str">
            <v>Refinery Gas</v>
          </cell>
          <cell r="E65" t="str">
            <v>Toneladas</v>
          </cell>
          <cell r="F65">
            <v>49.5</v>
          </cell>
          <cell r="G65">
            <v>1000</v>
          </cell>
          <cell r="H65" t="str">
            <v>IPCC 2006</v>
          </cell>
          <cell r="I65">
            <v>57600</v>
          </cell>
          <cell r="J65" t="str">
            <v>IPCC 2006</v>
          </cell>
          <cell r="K65">
            <v>1</v>
          </cell>
          <cell r="L65">
            <v>1</v>
          </cell>
          <cell r="M65">
            <v>5</v>
          </cell>
          <cell r="N65">
            <v>5</v>
          </cell>
          <cell r="O65">
            <v>0.1</v>
          </cell>
          <cell r="P65">
            <v>0.1</v>
          </cell>
          <cell r="Q65">
            <v>0.1</v>
          </cell>
          <cell r="R65">
            <v>0.1</v>
          </cell>
          <cell r="T65">
            <v>2851.2</v>
          </cell>
          <cell r="U65">
            <v>4.9500000000000002E-2</v>
          </cell>
          <cell r="V65">
            <v>4.9500000000000002E-2</v>
          </cell>
          <cell r="W65">
            <v>0.2475</v>
          </cell>
          <cell r="X65">
            <v>0.2475</v>
          </cell>
          <cell r="Y65">
            <v>4.9500000000000004E-3</v>
          </cell>
          <cell r="Z65">
            <v>4.9500000000000004E-3</v>
          </cell>
          <cell r="AA65">
            <v>4.9500000000000004E-3</v>
          </cell>
          <cell r="AB65">
            <v>4.9500000000000004E-3</v>
          </cell>
        </row>
        <row r="66">
          <cell r="B66">
            <v>21</v>
          </cell>
          <cell r="C66" t="str">
            <v>Gás Liquefeito de Petróleo (GLP)</v>
          </cell>
          <cell r="D66" t="str">
            <v>Liquefied Petroleum Gases</v>
          </cell>
          <cell r="E66" t="str">
            <v>Toneladas</v>
          </cell>
          <cell r="F66">
            <v>46.473479999999995</v>
          </cell>
          <cell r="G66">
            <v>1000</v>
          </cell>
          <cell r="H66" t="str">
            <v>BEN 2012</v>
          </cell>
          <cell r="I66">
            <v>63100</v>
          </cell>
          <cell r="J66" t="str">
            <v>MCT 2010</v>
          </cell>
          <cell r="K66">
            <v>1</v>
          </cell>
          <cell r="L66">
            <v>1</v>
          </cell>
          <cell r="M66">
            <v>5</v>
          </cell>
          <cell r="N66">
            <v>5</v>
          </cell>
          <cell r="O66">
            <v>0.1</v>
          </cell>
          <cell r="P66">
            <v>0.1</v>
          </cell>
          <cell r="Q66">
            <v>0.1</v>
          </cell>
          <cell r="R66">
            <v>0.1</v>
          </cell>
          <cell r="T66">
            <v>2932.4765879999995</v>
          </cell>
          <cell r="U66">
            <v>4.6473479999999998E-2</v>
          </cell>
          <cell r="V66">
            <v>4.6473479999999998E-2</v>
          </cell>
          <cell r="W66">
            <v>0.23236739999999997</v>
          </cell>
          <cell r="X66">
            <v>0.23236739999999997</v>
          </cell>
          <cell r="Y66">
            <v>4.6473479999999999E-3</v>
          </cell>
          <cell r="Z66">
            <v>4.6473479999999999E-3</v>
          </cell>
          <cell r="AA66">
            <v>4.6473479999999999E-3</v>
          </cell>
          <cell r="AB66">
            <v>4.6473479999999999E-3</v>
          </cell>
        </row>
        <row r="67">
          <cell r="B67">
            <v>22</v>
          </cell>
          <cell r="C67" t="str">
            <v>Gás Natural Seco</v>
          </cell>
          <cell r="D67" t="str">
            <v>Natural Gas</v>
          </cell>
          <cell r="E67" t="str">
            <v>m³</v>
          </cell>
          <cell r="F67">
            <v>49.788972972972971</v>
          </cell>
          <cell r="G67">
            <v>0.74</v>
          </cell>
          <cell r="H67" t="str">
            <v>BEN 2012</v>
          </cell>
          <cell r="I67">
            <v>56100</v>
          </cell>
          <cell r="J67" t="str">
            <v>MCT 2010</v>
          </cell>
          <cell r="K67">
            <v>1</v>
          </cell>
          <cell r="L67">
            <v>1</v>
          </cell>
          <cell r="M67">
            <v>5</v>
          </cell>
          <cell r="N67">
            <v>5</v>
          </cell>
          <cell r="O67">
            <v>0.1</v>
          </cell>
          <cell r="P67">
            <v>0.1</v>
          </cell>
          <cell r="Q67">
            <v>0.1</v>
          </cell>
          <cell r="R67">
            <v>0.1</v>
          </cell>
          <cell r="T67">
            <v>2.0669394240000001</v>
          </cell>
          <cell r="U67">
            <v>3.6843839999999997E-5</v>
          </cell>
          <cell r="V67">
            <v>3.6843839999999997E-5</v>
          </cell>
          <cell r="W67">
            <v>1.8421919999999999E-4</v>
          </cell>
          <cell r="X67">
            <v>1.8421919999999999E-4</v>
          </cell>
          <cell r="Y67">
            <v>3.6843840000000007E-6</v>
          </cell>
          <cell r="Z67">
            <v>3.6843840000000007E-6</v>
          </cell>
          <cell r="AA67">
            <v>3.6843840000000007E-6</v>
          </cell>
          <cell r="AB67">
            <v>3.6843840000000007E-6</v>
          </cell>
        </row>
        <row r="68">
          <cell r="B68">
            <v>23</v>
          </cell>
          <cell r="C68" t="str">
            <v>Gás Natural Úmido</v>
          </cell>
          <cell r="D68" t="str">
            <v>Natural Gas</v>
          </cell>
          <cell r="E68" t="str">
            <v>m³</v>
          </cell>
          <cell r="F68">
            <v>56.182329729729723</v>
          </cell>
          <cell r="G68">
            <v>0.74</v>
          </cell>
          <cell r="H68" t="str">
            <v>BEN 2012</v>
          </cell>
          <cell r="I68">
            <v>56100</v>
          </cell>
          <cell r="J68" t="str">
            <v>MCT 2010</v>
          </cell>
          <cell r="K68">
            <v>1</v>
          </cell>
          <cell r="L68">
            <v>1</v>
          </cell>
          <cell r="M68">
            <v>5</v>
          </cell>
          <cell r="N68">
            <v>5</v>
          </cell>
          <cell r="O68">
            <v>0.1</v>
          </cell>
          <cell r="P68">
            <v>0.1</v>
          </cell>
          <cell r="Q68">
            <v>0.1</v>
          </cell>
          <cell r="R68">
            <v>0.1</v>
          </cell>
          <cell r="T68">
            <v>2.3323532363999999</v>
          </cell>
          <cell r="U68">
            <v>4.1574923999999993E-5</v>
          </cell>
          <cell r="V68">
            <v>4.1574923999999993E-5</v>
          </cell>
          <cell r="W68">
            <v>2.0787461999999997E-4</v>
          </cell>
          <cell r="X68">
            <v>2.0787461999999997E-4</v>
          </cell>
          <cell r="Y68">
            <v>4.1574924E-6</v>
          </cell>
          <cell r="Z68">
            <v>4.1574924E-6</v>
          </cell>
          <cell r="AA68">
            <v>4.1574924E-6</v>
          </cell>
          <cell r="AB68">
            <v>4.1574924E-6</v>
          </cell>
        </row>
        <row r="69">
          <cell r="B69">
            <v>24</v>
          </cell>
          <cell r="C69" t="str">
            <v>Gasolina Automotiva (pura)</v>
          </cell>
          <cell r="D69" t="str">
            <v>Motor Gasoline</v>
          </cell>
          <cell r="E69" t="str">
            <v>Litros</v>
          </cell>
          <cell r="F69">
            <v>43.542720000000003</v>
          </cell>
          <cell r="G69">
            <v>0.74199999999999999</v>
          </cell>
          <cell r="H69" t="str">
            <v>BEN 2012</v>
          </cell>
          <cell r="I69">
            <v>69300</v>
          </cell>
          <cell r="J69" t="str">
            <v>MCT 2010</v>
          </cell>
          <cell r="K69">
            <v>3</v>
          </cell>
          <cell r="L69">
            <v>3</v>
          </cell>
          <cell r="M69">
            <v>10</v>
          </cell>
          <cell r="N69">
            <v>10</v>
          </cell>
          <cell r="O69">
            <v>0.6</v>
          </cell>
          <cell r="P69">
            <v>0.6</v>
          </cell>
          <cell r="Q69">
            <v>0.6</v>
          </cell>
          <cell r="R69">
            <v>0.6</v>
          </cell>
          <cell r="T69">
            <v>2.2389927880319997</v>
          </cell>
          <cell r="U69">
            <v>9.6926094720000005E-5</v>
          </cell>
          <cell r="V69">
            <v>9.6926094720000005E-5</v>
          </cell>
          <cell r="W69">
            <v>3.2308698239999999E-4</v>
          </cell>
          <cell r="X69">
            <v>3.2308698239999999E-4</v>
          </cell>
          <cell r="Y69">
            <v>1.9385218944E-5</v>
          </cell>
          <cell r="Z69">
            <v>1.9385218944E-5</v>
          </cell>
          <cell r="AA69">
            <v>1.9385218944E-5</v>
          </cell>
          <cell r="AB69">
            <v>1.9385218944E-5</v>
          </cell>
        </row>
        <row r="70">
          <cell r="B70">
            <v>25</v>
          </cell>
          <cell r="C70" t="str">
            <v>Gasolina de Aviação</v>
          </cell>
          <cell r="D70" t="str">
            <v>Aviation Gasoline</v>
          </cell>
          <cell r="E70" t="str">
            <v>Litros</v>
          </cell>
          <cell r="F70">
            <v>44.38008</v>
          </cell>
          <cell r="G70">
            <v>0.72599999999999998</v>
          </cell>
          <cell r="H70" t="str">
            <v>BEN 2012</v>
          </cell>
          <cell r="I70">
            <v>71500</v>
          </cell>
          <cell r="J70" t="str">
            <v>MCT 2010</v>
          </cell>
          <cell r="K70">
            <v>3</v>
          </cell>
          <cell r="L70">
            <v>3</v>
          </cell>
          <cell r="M70">
            <v>10</v>
          </cell>
          <cell r="N70">
            <v>10</v>
          </cell>
          <cell r="O70">
            <v>0.6</v>
          </cell>
          <cell r="P70">
            <v>0.6</v>
          </cell>
          <cell r="Q70">
            <v>0.6</v>
          </cell>
          <cell r="R70">
            <v>0.6</v>
          </cell>
          <cell r="T70">
            <v>2.3037255727199994</v>
          </cell>
          <cell r="U70">
            <v>9.6659814240000007E-5</v>
          </cell>
          <cell r="V70">
            <v>9.6659814240000007E-5</v>
          </cell>
          <cell r="W70">
            <v>3.221993808E-4</v>
          </cell>
          <cell r="X70">
            <v>3.221993808E-4</v>
          </cell>
          <cell r="Y70">
            <v>1.9331962848000001E-5</v>
          </cell>
          <cell r="Z70">
            <v>1.9331962848000001E-5</v>
          </cell>
          <cell r="AA70">
            <v>1.9331962848000001E-5</v>
          </cell>
          <cell r="AB70">
            <v>1.9331962848000001E-5</v>
          </cell>
        </row>
        <row r="71">
          <cell r="B71">
            <v>26</v>
          </cell>
          <cell r="C71" t="str">
            <v>Líquidos de Gás Natural (LGN)</v>
          </cell>
          <cell r="D71" t="str">
            <v>Natural Gas Liquids</v>
          </cell>
          <cell r="E71" t="str">
            <v>Toneladas</v>
          </cell>
          <cell r="F71">
            <v>44.2</v>
          </cell>
          <cell r="G71">
            <v>1000</v>
          </cell>
          <cell r="H71" t="str">
            <v>IPCC 2006</v>
          </cell>
          <cell r="I71">
            <v>64200</v>
          </cell>
          <cell r="J71" t="str">
            <v>IPCC 2006</v>
          </cell>
          <cell r="K71">
            <v>3</v>
          </cell>
          <cell r="L71">
            <v>3</v>
          </cell>
          <cell r="M71">
            <v>10</v>
          </cell>
          <cell r="N71">
            <v>10</v>
          </cell>
          <cell r="O71">
            <v>0.6</v>
          </cell>
          <cell r="P71">
            <v>0.6</v>
          </cell>
          <cell r="Q71">
            <v>0.6</v>
          </cell>
          <cell r="R71">
            <v>0.6</v>
          </cell>
          <cell r="T71">
            <v>2837.64</v>
          </cell>
          <cell r="U71">
            <v>0.13260000000000002</v>
          </cell>
          <cell r="V71">
            <v>0.13260000000000002</v>
          </cell>
          <cell r="W71">
            <v>0.442</v>
          </cell>
          <cell r="X71">
            <v>0.442</v>
          </cell>
          <cell r="Y71">
            <v>2.6519999999999998E-2</v>
          </cell>
          <cell r="Z71">
            <v>2.6519999999999998E-2</v>
          </cell>
          <cell r="AA71">
            <v>2.6519999999999998E-2</v>
          </cell>
          <cell r="AB71">
            <v>2.6519999999999998E-2</v>
          </cell>
        </row>
        <row r="72">
          <cell r="B72">
            <v>27</v>
          </cell>
          <cell r="C72" t="str">
            <v>Lubrificantes</v>
          </cell>
          <cell r="D72" t="str">
            <v>Lubricants</v>
          </cell>
          <cell r="E72" t="str">
            <v>Litros</v>
          </cell>
          <cell r="F72">
            <v>42.370415999999999</v>
          </cell>
          <cell r="G72">
            <v>0.875</v>
          </cell>
          <cell r="H72" t="str">
            <v>BEN 2012</v>
          </cell>
          <cell r="I72">
            <v>73300</v>
          </cell>
          <cell r="J72" t="str">
            <v>MCT 2010</v>
          </cell>
          <cell r="K72">
            <v>3</v>
          </cell>
          <cell r="L72">
            <v>3</v>
          </cell>
          <cell r="M72">
            <v>10</v>
          </cell>
          <cell r="N72">
            <v>10</v>
          </cell>
          <cell r="O72">
            <v>0.6</v>
          </cell>
          <cell r="P72">
            <v>0.6</v>
          </cell>
          <cell r="Q72">
            <v>0.6</v>
          </cell>
          <cell r="R72">
            <v>0.6</v>
          </cell>
          <cell r="T72">
            <v>2.7175325562000001</v>
          </cell>
          <cell r="U72">
            <v>1.11222342E-4</v>
          </cell>
          <cell r="V72">
            <v>1.11222342E-4</v>
          </cell>
          <cell r="W72">
            <v>3.7074113999999999E-4</v>
          </cell>
          <cell r="X72">
            <v>3.7074113999999999E-4</v>
          </cell>
          <cell r="Y72">
            <v>2.2244468399999999E-5</v>
          </cell>
          <cell r="Z72">
            <v>2.2244468399999999E-5</v>
          </cell>
          <cell r="AA72">
            <v>2.2244468399999999E-5</v>
          </cell>
          <cell r="AB72">
            <v>2.2244468399999999E-5</v>
          </cell>
        </row>
        <row r="73">
          <cell r="B73">
            <v>28</v>
          </cell>
          <cell r="C73" t="str">
            <v>Nafta</v>
          </cell>
          <cell r="D73" t="str">
            <v>Naphtha</v>
          </cell>
          <cell r="E73" t="str">
            <v>m³</v>
          </cell>
          <cell r="F73">
            <v>44.505684000000002</v>
          </cell>
          <cell r="G73">
            <v>702</v>
          </cell>
          <cell r="H73" t="str">
            <v>BEN 2012</v>
          </cell>
          <cell r="I73">
            <v>73300</v>
          </cell>
          <cell r="J73" t="str">
            <v>MCT 2010</v>
          </cell>
          <cell r="K73">
            <v>3</v>
          </cell>
          <cell r="L73">
            <v>3</v>
          </cell>
          <cell r="M73">
            <v>10</v>
          </cell>
          <cell r="N73">
            <v>10</v>
          </cell>
          <cell r="O73">
            <v>0.6</v>
          </cell>
          <cell r="P73">
            <v>0.6</v>
          </cell>
          <cell r="Q73">
            <v>0.6</v>
          </cell>
          <cell r="R73">
            <v>0.6</v>
          </cell>
          <cell r="T73">
            <v>2290.1111793144</v>
          </cell>
          <cell r="U73">
            <v>9.3728970504000017E-2</v>
          </cell>
          <cell r="V73">
            <v>9.3728970504000017E-2</v>
          </cell>
          <cell r="W73">
            <v>0.31242990168000001</v>
          </cell>
          <cell r="X73">
            <v>0.31242990168000001</v>
          </cell>
          <cell r="Y73">
            <v>1.8745794100799996E-2</v>
          </cell>
          <cell r="Z73">
            <v>1.8745794100799996E-2</v>
          </cell>
          <cell r="AA73">
            <v>1.8745794100799996E-2</v>
          </cell>
          <cell r="AB73">
            <v>1.8745794100799996E-2</v>
          </cell>
        </row>
        <row r="74">
          <cell r="B74">
            <v>29</v>
          </cell>
          <cell r="C74" t="str">
            <v>Óleo Combustível</v>
          </cell>
          <cell r="D74" t="str">
            <v>Residual Fuel Oil</v>
          </cell>
          <cell r="E74" t="str">
            <v>Litros</v>
          </cell>
          <cell r="F74">
            <v>40.151411999999993</v>
          </cell>
          <cell r="G74">
            <v>1</v>
          </cell>
          <cell r="H74" t="str">
            <v>BEN 2012</v>
          </cell>
          <cell r="I74">
            <v>77400</v>
          </cell>
          <cell r="J74" t="str">
            <v>MCT 2010</v>
          </cell>
          <cell r="K74">
            <v>3</v>
          </cell>
          <cell r="L74">
            <v>3</v>
          </cell>
          <cell r="M74">
            <v>10</v>
          </cell>
          <cell r="N74">
            <v>10</v>
          </cell>
          <cell r="O74">
            <v>0.6</v>
          </cell>
          <cell r="P74">
            <v>0.6</v>
          </cell>
          <cell r="Q74">
            <v>0.6</v>
          </cell>
          <cell r="R74">
            <v>0.6</v>
          </cell>
          <cell r="T74">
            <v>3.1077192887999994</v>
          </cell>
          <cell r="U74">
            <v>1.2045423599999997E-4</v>
          </cell>
          <cell r="V74">
            <v>1.2045423599999997E-4</v>
          </cell>
          <cell r="W74">
            <v>4.0151411999999996E-4</v>
          </cell>
          <cell r="X74">
            <v>4.0151411999999996E-4</v>
          </cell>
          <cell r="Y74">
            <v>2.4090847199999995E-5</v>
          </cell>
          <cell r="Z74">
            <v>2.4090847199999995E-5</v>
          </cell>
          <cell r="AA74">
            <v>2.4090847199999995E-5</v>
          </cell>
          <cell r="AB74">
            <v>2.4090847199999995E-5</v>
          </cell>
        </row>
        <row r="75">
          <cell r="B75">
            <v>30</v>
          </cell>
          <cell r="C75" t="str">
            <v>Óleo de Xisto</v>
          </cell>
          <cell r="D75" t="str">
            <v>Shale Oil</v>
          </cell>
          <cell r="E75" t="str">
            <v>Toneladas</v>
          </cell>
          <cell r="F75">
            <v>38.1</v>
          </cell>
          <cell r="G75">
            <v>1000</v>
          </cell>
          <cell r="H75" t="str">
            <v>IPCC 2006</v>
          </cell>
          <cell r="I75">
            <v>73300</v>
          </cell>
          <cell r="J75" t="str">
            <v>IPCC 2006</v>
          </cell>
          <cell r="K75">
            <v>3</v>
          </cell>
          <cell r="L75">
            <v>3</v>
          </cell>
          <cell r="M75">
            <v>10</v>
          </cell>
          <cell r="N75">
            <v>10</v>
          </cell>
          <cell r="O75">
            <v>0.6</v>
          </cell>
          <cell r="P75">
            <v>0.6</v>
          </cell>
          <cell r="Q75">
            <v>0.6</v>
          </cell>
          <cell r="R75">
            <v>0.6</v>
          </cell>
          <cell r="T75">
            <v>2792.73</v>
          </cell>
          <cell r="U75">
            <v>0.11430000000000001</v>
          </cell>
          <cell r="V75">
            <v>0.11430000000000001</v>
          </cell>
          <cell r="W75">
            <v>0.38100000000000001</v>
          </cell>
          <cell r="X75">
            <v>0.38100000000000001</v>
          </cell>
          <cell r="Y75">
            <v>2.2859999999999998E-2</v>
          </cell>
          <cell r="Z75">
            <v>2.2859999999999998E-2</v>
          </cell>
          <cell r="AA75">
            <v>2.2859999999999998E-2</v>
          </cell>
          <cell r="AB75">
            <v>2.2859999999999998E-2</v>
          </cell>
        </row>
        <row r="76">
          <cell r="B76">
            <v>31</v>
          </cell>
          <cell r="C76" t="str">
            <v>Óleo Diesel (puro)</v>
          </cell>
          <cell r="D76" t="str">
            <v>Diesel Oil</v>
          </cell>
          <cell r="E76" t="str">
            <v>Litros</v>
          </cell>
          <cell r="F76">
            <v>42.286679999999997</v>
          </cell>
          <cell r="G76">
            <v>0.84</v>
          </cell>
          <cell r="H76" t="str">
            <v>BEN 2012</v>
          </cell>
          <cell r="I76">
            <v>74100</v>
          </cell>
          <cell r="J76" t="str">
            <v>MCT 2010</v>
          </cell>
          <cell r="K76">
            <v>3</v>
          </cell>
          <cell r="L76">
            <v>3</v>
          </cell>
          <cell r="M76">
            <v>10</v>
          </cell>
          <cell r="N76">
            <v>10</v>
          </cell>
          <cell r="O76">
            <v>0.6</v>
          </cell>
          <cell r="P76">
            <v>0.6</v>
          </cell>
          <cell r="Q76">
            <v>0.6</v>
          </cell>
          <cell r="R76">
            <v>0.6</v>
          </cell>
          <cell r="T76">
            <v>2.6320921099199999</v>
          </cell>
          <cell r="U76">
            <v>1.0656243359999999E-4</v>
          </cell>
          <cell r="V76">
            <v>1.0656243359999999E-4</v>
          </cell>
          <cell r="W76">
            <v>3.5520811199999996E-4</v>
          </cell>
          <cell r="X76">
            <v>3.5520811199999996E-4</v>
          </cell>
          <cell r="Y76">
            <v>2.1312486719999996E-5</v>
          </cell>
          <cell r="Z76">
            <v>2.1312486719999996E-5</v>
          </cell>
          <cell r="AA76">
            <v>2.1312486719999996E-5</v>
          </cell>
          <cell r="AB76">
            <v>2.1312486719999996E-5</v>
          </cell>
        </row>
        <row r="77">
          <cell r="B77">
            <v>32</v>
          </cell>
          <cell r="C77" t="str">
            <v>Óleos Residuais</v>
          </cell>
          <cell r="D77" t="str">
            <v>Waste Oils</v>
          </cell>
          <cell r="E77" t="str">
            <v>Toneladas</v>
          </cell>
          <cell r="F77">
            <v>40.200000000000003</v>
          </cell>
          <cell r="G77">
            <v>1000</v>
          </cell>
          <cell r="H77" t="str">
            <v>IPCC 2006</v>
          </cell>
          <cell r="I77">
            <v>73300</v>
          </cell>
          <cell r="J77" t="str">
            <v>IPCC 2006</v>
          </cell>
          <cell r="K77">
            <v>30</v>
          </cell>
          <cell r="L77">
            <v>30</v>
          </cell>
          <cell r="M77">
            <v>300</v>
          </cell>
          <cell r="N77">
            <v>300</v>
          </cell>
          <cell r="O77">
            <v>4</v>
          </cell>
          <cell r="P77">
            <v>4</v>
          </cell>
          <cell r="Q77">
            <v>4</v>
          </cell>
          <cell r="R77">
            <v>4</v>
          </cell>
          <cell r="T77">
            <v>2946.66</v>
          </cell>
          <cell r="U77">
            <v>1.206</v>
          </cell>
          <cell r="V77">
            <v>1.206</v>
          </cell>
          <cell r="W77">
            <v>12.06</v>
          </cell>
          <cell r="X77">
            <v>12.06</v>
          </cell>
          <cell r="Y77">
            <v>0.1608</v>
          </cell>
          <cell r="Z77">
            <v>0.1608</v>
          </cell>
          <cell r="AA77">
            <v>0.1608</v>
          </cell>
          <cell r="AB77">
            <v>0.1608</v>
          </cell>
        </row>
        <row r="78">
          <cell r="B78">
            <v>33</v>
          </cell>
          <cell r="C78" t="str">
            <v>Outros Produtos de Petróleo</v>
          </cell>
          <cell r="D78" t="str">
            <v>Other Petroleum Products</v>
          </cell>
          <cell r="E78" t="str">
            <v>Toneladas</v>
          </cell>
          <cell r="F78">
            <v>42.705359999999999</v>
          </cell>
          <cell r="G78">
            <v>1000</v>
          </cell>
          <cell r="H78" t="str">
            <v>BEN 2012</v>
          </cell>
          <cell r="I78">
            <v>73300</v>
          </cell>
          <cell r="J78" t="str">
            <v>MCT 2010</v>
          </cell>
          <cell r="K78">
            <v>3</v>
          </cell>
          <cell r="L78">
            <v>3</v>
          </cell>
          <cell r="M78">
            <v>10</v>
          </cell>
          <cell r="N78">
            <v>10</v>
          </cell>
          <cell r="O78">
            <v>0.6</v>
          </cell>
          <cell r="P78">
            <v>0.6</v>
          </cell>
          <cell r="Q78">
            <v>0.6</v>
          </cell>
          <cell r="R78">
            <v>0.6</v>
          </cell>
          <cell r="T78">
            <v>3130.3028880000002</v>
          </cell>
          <cell r="U78">
            <v>0.12811608000000002</v>
          </cell>
          <cell r="V78">
            <v>0.12811608000000002</v>
          </cell>
          <cell r="W78">
            <v>0.42705359999999998</v>
          </cell>
          <cell r="X78">
            <v>0.42705359999999998</v>
          </cell>
          <cell r="Y78">
            <v>2.5623216000000001E-2</v>
          </cell>
          <cell r="Z78">
            <v>2.5623216000000001E-2</v>
          </cell>
          <cell r="AA78">
            <v>2.5623216000000001E-2</v>
          </cell>
          <cell r="AB78">
            <v>2.5623216000000001E-2</v>
          </cell>
        </row>
        <row r="79">
          <cell r="B79">
            <v>34</v>
          </cell>
          <cell r="C79" t="str">
            <v>Parafina</v>
          </cell>
          <cell r="D79" t="str">
            <v>Paraffin Waxes</v>
          </cell>
          <cell r="E79" t="str">
            <v>Toneladas</v>
          </cell>
          <cell r="F79">
            <v>40.200000000000003</v>
          </cell>
          <cell r="G79">
            <v>1000</v>
          </cell>
          <cell r="H79" t="str">
            <v>IPCC 2006</v>
          </cell>
          <cell r="I79">
            <v>73300</v>
          </cell>
          <cell r="J79" t="str">
            <v>IPCC 2006</v>
          </cell>
          <cell r="K79">
            <v>3</v>
          </cell>
          <cell r="L79">
            <v>3</v>
          </cell>
          <cell r="M79">
            <v>10</v>
          </cell>
          <cell r="N79">
            <v>10</v>
          </cell>
          <cell r="O79">
            <v>0.6</v>
          </cell>
          <cell r="P79">
            <v>0.6</v>
          </cell>
          <cell r="Q79">
            <v>0.6</v>
          </cell>
          <cell r="R79">
            <v>0.6</v>
          </cell>
          <cell r="T79">
            <v>2946.66</v>
          </cell>
          <cell r="U79">
            <v>0.12060000000000001</v>
          </cell>
          <cell r="V79">
            <v>0.12060000000000001</v>
          </cell>
          <cell r="W79">
            <v>0.40200000000000002</v>
          </cell>
          <cell r="X79">
            <v>0.40200000000000002</v>
          </cell>
          <cell r="Y79">
            <v>2.4119999999999999E-2</v>
          </cell>
          <cell r="Z79">
            <v>2.4119999999999999E-2</v>
          </cell>
          <cell r="AA79">
            <v>2.4119999999999999E-2</v>
          </cell>
          <cell r="AB79">
            <v>2.4119999999999999E-2</v>
          </cell>
        </row>
        <row r="80">
          <cell r="B80">
            <v>35</v>
          </cell>
          <cell r="C80" t="str">
            <v>Petróleo Bruto</v>
          </cell>
          <cell r="D80" t="str">
            <v>Crude Oil</v>
          </cell>
          <cell r="E80" t="str">
            <v>m³</v>
          </cell>
          <cell r="F80">
            <v>42.663491999999998</v>
          </cell>
          <cell r="G80">
            <v>884</v>
          </cell>
          <cell r="H80" t="str">
            <v>BEN 2012</v>
          </cell>
          <cell r="I80">
            <v>73300</v>
          </cell>
          <cell r="J80" t="str">
            <v>IPCC 2006</v>
          </cell>
          <cell r="K80">
            <v>3</v>
          </cell>
          <cell r="L80">
            <v>3</v>
          </cell>
          <cell r="M80">
            <v>10</v>
          </cell>
          <cell r="N80">
            <v>10</v>
          </cell>
          <cell r="O80">
            <v>0.6</v>
          </cell>
          <cell r="P80">
            <v>0.6</v>
          </cell>
          <cell r="Q80">
            <v>0.6</v>
          </cell>
          <cell r="R80">
            <v>0.6</v>
          </cell>
          <cell r="T80">
            <v>2764.4748238224001</v>
          </cell>
          <cell r="U80">
            <v>0.11314358078400001</v>
          </cell>
          <cell r="V80">
            <v>0.11314358078400001</v>
          </cell>
          <cell r="W80">
            <v>0.37714526927999997</v>
          </cell>
          <cell r="X80">
            <v>0.37714526927999997</v>
          </cell>
          <cell r="Y80">
            <v>2.26287161568E-2</v>
          </cell>
          <cell r="Z80">
            <v>2.26287161568E-2</v>
          </cell>
          <cell r="AA80">
            <v>2.26287161568E-2</v>
          </cell>
          <cell r="AB80">
            <v>2.26287161568E-2</v>
          </cell>
        </row>
        <row r="81">
          <cell r="B81">
            <v>36</v>
          </cell>
          <cell r="C81" t="str">
            <v>Querosene de Aviação</v>
          </cell>
          <cell r="D81" t="str">
            <v>Jet Kerosene</v>
          </cell>
          <cell r="E81" t="str">
            <v>Toneladas</v>
          </cell>
          <cell r="F81">
            <v>43.542720000000003</v>
          </cell>
          <cell r="G81">
            <v>1000</v>
          </cell>
          <cell r="H81" t="str">
            <v>BEN 2012</v>
          </cell>
          <cell r="I81">
            <v>71500</v>
          </cell>
          <cell r="J81" t="str">
            <v>MCT 2010</v>
          </cell>
          <cell r="K81">
            <v>3</v>
          </cell>
          <cell r="L81">
            <v>3</v>
          </cell>
          <cell r="M81">
            <v>10</v>
          </cell>
          <cell r="N81">
            <v>10</v>
          </cell>
          <cell r="O81">
            <v>0.6</v>
          </cell>
          <cell r="P81">
            <v>0.6</v>
          </cell>
          <cell r="Q81">
            <v>0.6</v>
          </cell>
          <cell r="R81">
            <v>0.6</v>
          </cell>
          <cell r="T81">
            <v>3113.3044799999998</v>
          </cell>
          <cell r="U81">
            <v>0.13062815999999999</v>
          </cell>
          <cell r="V81">
            <v>0.13062815999999999</v>
          </cell>
          <cell r="W81">
            <v>0.43542720000000001</v>
          </cell>
          <cell r="X81">
            <v>0.43542720000000001</v>
          </cell>
          <cell r="Y81">
            <v>2.6125631999999999E-2</v>
          </cell>
          <cell r="Z81">
            <v>2.6125631999999999E-2</v>
          </cell>
          <cell r="AA81">
            <v>2.6125631999999999E-2</v>
          </cell>
          <cell r="AB81">
            <v>2.6125631999999999E-2</v>
          </cell>
        </row>
        <row r="82">
          <cell r="B82">
            <v>37</v>
          </cell>
          <cell r="C82" t="str">
            <v>Querosene Iluminante</v>
          </cell>
          <cell r="D82" t="str">
            <v>Other Kerosene</v>
          </cell>
          <cell r="E82" t="str">
            <v>Toneladas</v>
          </cell>
          <cell r="F82">
            <v>43.542720000000003</v>
          </cell>
          <cell r="G82">
            <v>1000</v>
          </cell>
          <cell r="H82" t="str">
            <v>BEN 2012</v>
          </cell>
          <cell r="I82">
            <v>71900</v>
          </cell>
          <cell r="J82" t="str">
            <v>MCT 2010</v>
          </cell>
          <cell r="K82">
            <v>3</v>
          </cell>
          <cell r="L82">
            <v>3</v>
          </cell>
          <cell r="M82">
            <v>10</v>
          </cell>
          <cell r="N82">
            <v>10</v>
          </cell>
          <cell r="O82">
            <v>0.6</v>
          </cell>
          <cell r="P82">
            <v>0.6</v>
          </cell>
          <cell r="Q82">
            <v>0.6</v>
          </cell>
          <cell r="R82">
            <v>0.6</v>
          </cell>
          <cell r="T82">
            <v>3130.7215679999999</v>
          </cell>
          <cell r="U82">
            <v>0.13062815999999999</v>
          </cell>
          <cell r="V82">
            <v>0.13062815999999999</v>
          </cell>
          <cell r="W82">
            <v>0.43542720000000001</v>
          </cell>
          <cell r="X82">
            <v>0.43542720000000001</v>
          </cell>
          <cell r="Y82">
            <v>2.6125631999999999E-2</v>
          </cell>
          <cell r="Z82">
            <v>2.6125631999999999E-2</v>
          </cell>
          <cell r="AA82">
            <v>2.6125631999999999E-2</v>
          </cell>
          <cell r="AB82">
            <v>2.6125631999999999E-2</v>
          </cell>
        </row>
        <row r="83">
          <cell r="B83">
            <v>38</v>
          </cell>
          <cell r="C83" t="str">
            <v>Resíduos Industriais</v>
          </cell>
          <cell r="D83" t="str">
            <v>Industrial Wastes</v>
          </cell>
          <cell r="E83" t="str">
            <v>TJ</v>
          </cell>
          <cell r="F83" t="str">
            <v>N/A</v>
          </cell>
          <cell r="G83" t="str">
            <v>N/A</v>
          </cell>
          <cell r="H83" t="str">
            <v>IPCC 2006</v>
          </cell>
          <cell r="I83">
            <v>143000</v>
          </cell>
          <cell r="J83" t="str">
            <v>IPCC 2006</v>
          </cell>
          <cell r="K83">
            <v>30</v>
          </cell>
          <cell r="L83">
            <v>30</v>
          </cell>
          <cell r="M83">
            <v>300</v>
          </cell>
          <cell r="N83">
            <v>300</v>
          </cell>
          <cell r="O83">
            <v>4</v>
          </cell>
          <cell r="P83">
            <v>4</v>
          </cell>
          <cell r="Q83">
            <v>4</v>
          </cell>
          <cell r="R83">
            <v>4</v>
          </cell>
          <cell r="T83">
            <v>143000</v>
          </cell>
          <cell r="U83">
            <v>30</v>
          </cell>
          <cell r="V83">
            <v>30</v>
          </cell>
          <cell r="W83">
            <v>300</v>
          </cell>
          <cell r="X83">
            <v>300</v>
          </cell>
          <cell r="Y83">
            <v>4</v>
          </cell>
          <cell r="Z83">
            <v>4</v>
          </cell>
          <cell r="AA83">
            <v>4</v>
          </cell>
          <cell r="AB83">
            <v>4</v>
          </cell>
        </row>
        <row r="84">
          <cell r="B84">
            <v>39</v>
          </cell>
          <cell r="C84" t="str">
            <v>Resíduos Municipais (fração não-biomassa)</v>
          </cell>
          <cell r="D84" t="str">
            <v>Municipal Wastes (non-biomass fraction)</v>
          </cell>
          <cell r="E84" t="str">
            <v>Toneladas</v>
          </cell>
          <cell r="F84">
            <v>10</v>
          </cell>
          <cell r="G84">
            <v>1000</v>
          </cell>
          <cell r="H84" t="str">
            <v>IPCC 2006</v>
          </cell>
          <cell r="I84">
            <v>91700</v>
          </cell>
          <cell r="J84" t="str">
            <v>IPCC 2006</v>
          </cell>
          <cell r="K84">
            <v>30</v>
          </cell>
          <cell r="L84">
            <v>30</v>
          </cell>
          <cell r="M84">
            <v>300</v>
          </cell>
          <cell r="N84">
            <v>300</v>
          </cell>
          <cell r="O84">
            <v>4</v>
          </cell>
          <cell r="P84">
            <v>4</v>
          </cell>
          <cell r="Q84">
            <v>4</v>
          </cell>
          <cell r="R84">
            <v>4</v>
          </cell>
          <cell r="T84">
            <v>917</v>
          </cell>
          <cell r="U84">
            <v>0.3</v>
          </cell>
          <cell r="V84">
            <v>0.3</v>
          </cell>
          <cell r="W84">
            <v>3</v>
          </cell>
          <cell r="X84">
            <v>3</v>
          </cell>
          <cell r="Y84">
            <v>0.04</v>
          </cell>
          <cell r="Z84">
            <v>0.04</v>
          </cell>
          <cell r="AA84">
            <v>0.04</v>
          </cell>
          <cell r="AB84">
            <v>0.04</v>
          </cell>
        </row>
        <row r="85">
          <cell r="B85">
            <v>40</v>
          </cell>
          <cell r="C85" t="str">
            <v>Solventes</v>
          </cell>
          <cell r="D85" t="str">
            <v>Other Petroleum Products</v>
          </cell>
          <cell r="E85" t="str">
            <v>Litros</v>
          </cell>
          <cell r="F85">
            <v>44.170739999999995</v>
          </cell>
          <cell r="G85">
            <v>0.74099999999999999</v>
          </cell>
          <cell r="H85" t="str">
            <v>BEN 2012</v>
          </cell>
          <cell r="I85">
            <v>73300</v>
          </cell>
          <cell r="J85" t="str">
            <v>MCT 2010</v>
          </cell>
          <cell r="K85">
            <v>3</v>
          </cell>
          <cell r="L85">
            <v>3</v>
          </cell>
          <cell r="M85">
            <v>10</v>
          </cell>
          <cell r="N85">
            <v>10</v>
          </cell>
          <cell r="O85">
            <v>0.6</v>
          </cell>
          <cell r="P85">
            <v>0.6</v>
          </cell>
          <cell r="Q85">
            <v>0.6</v>
          </cell>
          <cell r="R85">
            <v>0.6</v>
          </cell>
          <cell r="T85">
            <v>2.3991469943219994</v>
          </cell>
          <cell r="U85">
            <v>9.819155501999998E-5</v>
          </cell>
          <cell r="V85">
            <v>9.819155501999998E-5</v>
          </cell>
          <cell r="W85">
            <v>3.2730518339999995E-4</v>
          </cell>
          <cell r="X85">
            <v>3.2730518339999995E-4</v>
          </cell>
          <cell r="Y85">
            <v>1.9638311003999999E-5</v>
          </cell>
          <cell r="Z85">
            <v>1.9638311003999999E-5</v>
          </cell>
          <cell r="AA85">
            <v>1.9638311003999999E-5</v>
          </cell>
          <cell r="AB85">
            <v>1.9638311003999999E-5</v>
          </cell>
        </row>
        <row r="86">
          <cell r="B86">
            <v>41</v>
          </cell>
          <cell r="C86" t="str">
            <v>Turfa</v>
          </cell>
          <cell r="D86" t="str">
            <v>Peat</v>
          </cell>
          <cell r="E86" t="str">
            <v>Toneladas</v>
          </cell>
          <cell r="F86">
            <v>9.76</v>
          </cell>
          <cell r="G86">
            <v>1000</v>
          </cell>
          <cell r="H86" t="str">
            <v>IPCC 2006</v>
          </cell>
          <cell r="I86">
            <v>106000</v>
          </cell>
          <cell r="J86" t="str">
            <v>IPCC 2006</v>
          </cell>
          <cell r="K86">
            <v>1</v>
          </cell>
          <cell r="L86">
            <v>2</v>
          </cell>
          <cell r="M86">
            <v>10</v>
          </cell>
          <cell r="N86">
            <v>300</v>
          </cell>
          <cell r="O86">
            <v>1.5</v>
          </cell>
          <cell r="P86">
            <v>1.5</v>
          </cell>
          <cell r="Q86">
            <v>1.4</v>
          </cell>
          <cell r="R86">
            <v>1.4</v>
          </cell>
          <cell r="T86">
            <v>1034.56</v>
          </cell>
          <cell r="U86">
            <v>9.7599999999999996E-3</v>
          </cell>
          <cell r="V86">
            <v>1.9519999999999999E-2</v>
          </cell>
          <cell r="W86">
            <v>9.7600000000000006E-2</v>
          </cell>
          <cell r="X86">
            <v>2.9279999999999999</v>
          </cell>
          <cell r="Y86">
            <v>1.464E-2</v>
          </cell>
          <cell r="Z86">
            <v>1.464E-2</v>
          </cell>
          <cell r="AA86">
            <v>1.3664000000000001E-2</v>
          </cell>
          <cell r="AB86">
            <v>1.3664000000000001E-2</v>
          </cell>
        </row>
        <row r="87">
          <cell r="B87">
            <v>42</v>
          </cell>
          <cell r="C87" t="str">
            <v>Xisto Betuminoso e Areias Betuminosas</v>
          </cell>
          <cell r="D87" t="str">
            <v>Oil Shale and Tar Sands</v>
          </cell>
          <cell r="E87" t="str">
            <v>Toneladas</v>
          </cell>
          <cell r="F87">
            <v>8.9</v>
          </cell>
          <cell r="G87">
            <v>1000</v>
          </cell>
          <cell r="H87" t="str">
            <v>IPCC 2006</v>
          </cell>
          <cell r="I87">
            <v>107000</v>
          </cell>
          <cell r="J87" t="str">
            <v>IPCC 2006</v>
          </cell>
          <cell r="K87">
            <v>1</v>
          </cell>
          <cell r="L87">
            <v>10</v>
          </cell>
          <cell r="M87">
            <v>10</v>
          </cell>
          <cell r="N87">
            <v>300</v>
          </cell>
          <cell r="O87">
            <v>1.5</v>
          </cell>
          <cell r="P87">
            <v>1.5</v>
          </cell>
          <cell r="Q87">
            <v>1.5</v>
          </cell>
          <cell r="R87">
            <v>1.5</v>
          </cell>
          <cell r="T87">
            <v>952.3</v>
          </cell>
          <cell r="U87">
            <v>8.8999999999999999E-3</v>
          </cell>
          <cell r="V87">
            <v>8.8999999999999996E-2</v>
          </cell>
          <cell r="W87">
            <v>8.8999999999999996E-2</v>
          </cell>
          <cell r="X87">
            <v>2.67</v>
          </cell>
          <cell r="Y87">
            <v>1.3350000000000002E-2</v>
          </cell>
          <cell r="Z87">
            <v>1.3350000000000002E-2</v>
          </cell>
          <cell r="AA87">
            <v>1.3350000000000002E-2</v>
          </cell>
          <cell r="AB87">
            <v>1.3350000000000002E-2</v>
          </cell>
        </row>
        <row r="88">
          <cell r="B88">
            <v>0</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row>
        <row r="89">
          <cell r="B89">
            <v>0</v>
          </cell>
          <cell r="C89" t="str">
            <v>Tabela 2. Fatores de emissão por utilização de biomassa como combustível</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row>
        <row r="90">
          <cell r="B90" t="str">
            <v>Nº ref.</v>
          </cell>
          <cell r="C90" t="str">
            <v>Combustível</v>
          </cell>
          <cell r="D90" t="str">
            <v>Combustível mais próximo utilizado pelo IPCC</v>
          </cell>
          <cell r="E90" t="str">
            <v>Unidades</v>
          </cell>
          <cell r="F90" t="str">
            <v xml:space="preserve">Poder calorífico inferior </v>
          </cell>
          <cell r="G90" t="str">
            <v xml:space="preserve">Densidade </v>
          </cell>
          <cell r="H90" t="str">
            <v>Fonte</v>
          </cell>
          <cell r="I90" t="str">
            <v>Fatores de Emissão</v>
          </cell>
          <cell r="J90">
            <v>0</v>
          </cell>
          <cell r="K90" t="str">
            <v>Fatores de Emissão (unidades originais) - IPCC 2006</v>
          </cell>
          <cell r="L90">
            <v>0</v>
          </cell>
          <cell r="M90">
            <v>0</v>
          </cell>
          <cell r="N90">
            <v>0</v>
          </cell>
          <cell r="O90">
            <v>0</v>
          </cell>
          <cell r="P90">
            <v>0</v>
          </cell>
          <cell r="Q90">
            <v>0</v>
          </cell>
          <cell r="R90">
            <v>0</v>
          </cell>
          <cell r="T90" t="str">
            <v>Fatores de Emissão (unidades convertidas)</v>
          </cell>
          <cell r="U90">
            <v>0</v>
          </cell>
          <cell r="V90">
            <v>0</v>
          </cell>
          <cell r="W90">
            <v>0</v>
          </cell>
          <cell r="X90">
            <v>0</v>
          </cell>
          <cell r="Y90">
            <v>0</v>
          </cell>
          <cell r="Z90">
            <v>0</v>
          </cell>
          <cell r="AA90">
            <v>0</v>
          </cell>
          <cell r="AB90">
            <v>0</v>
          </cell>
        </row>
        <row r="91">
          <cell r="B91">
            <v>0</v>
          </cell>
          <cell r="C91">
            <v>0</v>
          </cell>
          <cell r="D91">
            <v>0</v>
          </cell>
          <cell r="E91">
            <v>0</v>
          </cell>
          <cell r="F91">
            <v>0</v>
          </cell>
          <cell r="G91">
            <v>0</v>
          </cell>
          <cell r="H91">
            <v>0</v>
          </cell>
          <cell r="I91" t="str">
            <v>CO2 (kg/TJ)</v>
          </cell>
          <cell r="J91" t="str">
            <v>Fonte</v>
          </cell>
          <cell r="K91" t="str">
            <v>CH4 (kg/TJ) por setor de atividade</v>
          </cell>
          <cell r="L91">
            <v>0</v>
          </cell>
          <cell r="M91">
            <v>0</v>
          </cell>
          <cell r="N91">
            <v>0</v>
          </cell>
          <cell r="O91" t="str">
            <v>N2O (kg/TJ) por setor de atividade</v>
          </cell>
          <cell r="P91">
            <v>0</v>
          </cell>
          <cell r="Q91">
            <v>0</v>
          </cell>
          <cell r="R91">
            <v>0</v>
          </cell>
          <cell r="T91" t="str">
            <v>CO2 (kg/un.)</v>
          </cell>
          <cell r="U91" t="str">
            <v>CH4 (kg/un.) por setor de atividade</v>
          </cell>
          <cell r="V91">
            <v>0</v>
          </cell>
          <cell r="W91">
            <v>0</v>
          </cell>
          <cell r="X91">
            <v>0</v>
          </cell>
          <cell r="Y91" t="str">
            <v>N2O (kg/un.) por setor de atividade</v>
          </cell>
          <cell r="Z91">
            <v>0</v>
          </cell>
          <cell r="AA91">
            <v>0</v>
          </cell>
          <cell r="AB91">
            <v>0</v>
          </cell>
        </row>
        <row r="92">
          <cell r="B92">
            <v>0</v>
          </cell>
          <cell r="C92">
            <v>0</v>
          </cell>
          <cell r="D92">
            <v>0</v>
          </cell>
          <cell r="E92">
            <v>0</v>
          </cell>
          <cell r="F92" t="str">
            <v>(GJ/t)</v>
          </cell>
          <cell r="G92" t="str">
            <v>(kg/unidade)</v>
          </cell>
          <cell r="H92">
            <v>0</v>
          </cell>
          <cell r="I92">
            <v>0</v>
          </cell>
          <cell r="J92">
            <v>0</v>
          </cell>
          <cell r="K92" t="str">
            <v>Energia</v>
          </cell>
          <cell r="L92" t="str">
            <v>Manufatura ou Construção</v>
          </cell>
          <cell r="M92" t="str">
            <v>Comercial ou Institucional</v>
          </cell>
          <cell r="N92" t="str">
            <v>Residencial, Agricultura, Florestal ou Pesca</v>
          </cell>
          <cell r="O92" t="str">
            <v>Energia</v>
          </cell>
          <cell r="P92" t="str">
            <v>Manufatura ou Construção</v>
          </cell>
          <cell r="Q92" t="str">
            <v>Comercial ou Institucional</v>
          </cell>
          <cell r="R92" t="str">
            <v>Residencial, Agricultura, Florestal ou Pesca</v>
          </cell>
          <cell r="T92">
            <v>0</v>
          </cell>
          <cell r="U92" t="str">
            <v>Energia</v>
          </cell>
          <cell r="V92" t="str">
            <v>Manufatura ou Construção</v>
          </cell>
          <cell r="W92" t="str">
            <v>Comercial ou Institucional</v>
          </cell>
          <cell r="X92" t="str">
            <v>Residencial, Agricultura, Florestal ou Pesca</v>
          </cell>
          <cell r="Y92" t="str">
            <v>Energia</v>
          </cell>
          <cell r="Z92" t="str">
            <v>Manufatura ou Construção</v>
          </cell>
          <cell r="AA92" t="str">
            <v>Comercial ou Institucional</v>
          </cell>
          <cell r="AB92" t="str">
            <v>Residencial, Agricultura, Florestal ou Pesca</v>
          </cell>
        </row>
        <row r="93">
          <cell r="B93">
            <v>48</v>
          </cell>
          <cell r="C93" t="str">
            <v>Etanol Anidro</v>
          </cell>
          <cell r="D93" t="str">
            <v>Other Liquid Biofuels</v>
          </cell>
          <cell r="E93" t="str">
            <v>Litros</v>
          </cell>
          <cell r="F93">
            <v>28.260899999999999</v>
          </cell>
          <cell r="G93">
            <v>0.79100000000000004</v>
          </cell>
          <cell r="H93" t="str">
            <v>BEN 2012</v>
          </cell>
          <cell r="I93">
            <v>68933.333333333343</v>
          </cell>
          <cell r="J93" t="str">
            <v>MCT 2010</v>
          </cell>
          <cell r="K93">
            <v>3</v>
          </cell>
          <cell r="L93">
            <v>3</v>
          </cell>
          <cell r="M93">
            <v>10</v>
          </cell>
          <cell r="N93">
            <v>10</v>
          </cell>
          <cell r="O93">
            <v>0.6</v>
          </cell>
          <cell r="P93">
            <v>0.6</v>
          </cell>
          <cell r="Q93">
            <v>0.6</v>
          </cell>
          <cell r="R93">
            <v>0.6</v>
          </cell>
          <cell r="T93">
            <v>1.5409613696400004</v>
          </cell>
          <cell r="U93">
            <v>6.7063115700000014E-5</v>
          </cell>
          <cell r="V93">
            <v>6.7063115700000014E-5</v>
          </cell>
          <cell r="W93">
            <v>2.2354371899999998E-4</v>
          </cell>
          <cell r="X93">
            <v>2.2354371899999998E-4</v>
          </cell>
          <cell r="Y93">
            <v>1.3412623140000001E-5</v>
          </cell>
          <cell r="Z93">
            <v>1.3412623140000001E-5</v>
          </cell>
          <cell r="AA93">
            <v>1.3412623140000001E-5</v>
          </cell>
          <cell r="AB93">
            <v>1.3412623140000001E-5</v>
          </cell>
        </row>
        <row r="94">
          <cell r="B94">
            <v>49</v>
          </cell>
          <cell r="C94" t="str">
            <v>Etanol Hidratado</v>
          </cell>
          <cell r="D94" t="str">
            <v>Other Liquid Biofuels</v>
          </cell>
          <cell r="E94" t="str">
            <v>Litros</v>
          </cell>
          <cell r="F94">
            <v>26.376840000000001</v>
          </cell>
          <cell r="G94">
            <v>0.80900000000000005</v>
          </cell>
          <cell r="H94" t="str">
            <v>BEN 2012</v>
          </cell>
          <cell r="I94">
            <v>68933.333333333343</v>
          </cell>
          <cell r="J94" t="str">
            <v>MCT 2010</v>
          </cell>
          <cell r="K94">
            <v>3</v>
          </cell>
          <cell r="L94">
            <v>3</v>
          </cell>
          <cell r="M94">
            <v>10</v>
          </cell>
          <cell r="N94">
            <v>10</v>
          </cell>
          <cell r="O94">
            <v>0.6</v>
          </cell>
          <cell r="P94">
            <v>0.6</v>
          </cell>
          <cell r="Q94">
            <v>0.6</v>
          </cell>
          <cell r="R94">
            <v>0.6</v>
          </cell>
          <cell r="T94">
            <v>1.4709589947360004</v>
          </cell>
          <cell r="U94">
            <v>6.4016590680000007E-5</v>
          </cell>
          <cell r="V94">
            <v>6.4016590680000007E-5</v>
          </cell>
          <cell r="W94">
            <v>2.1338863560000005E-4</v>
          </cell>
          <cell r="X94">
            <v>2.1338863560000005E-4</v>
          </cell>
          <cell r="Y94">
            <v>1.2803318136000002E-5</v>
          </cell>
          <cell r="Z94">
            <v>1.2803318136000002E-5</v>
          </cell>
          <cell r="AA94">
            <v>1.2803318136000002E-5</v>
          </cell>
          <cell r="AB94">
            <v>1.2803318136000002E-5</v>
          </cell>
        </row>
        <row r="95">
          <cell r="B95">
            <v>50</v>
          </cell>
          <cell r="C95" t="str">
            <v>Bagaço de Cana</v>
          </cell>
          <cell r="D95" t="str">
            <v>Other Primary Solid Biomass</v>
          </cell>
          <cell r="E95" t="str">
            <v>Toneladas</v>
          </cell>
          <cell r="F95">
            <v>8.9178840000000008</v>
          </cell>
          <cell r="G95">
            <v>1000</v>
          </cell>
          <cell r="H95" t="str">
            <v>BEN 2012</v>
          </cell>
          <cell r="I95">
            <v>97166.666666666672</v>
          </cell>
          <cell r="J95" t="str">
            <v>MCT 2010</v>
          </cell>
          <cell r="K95">
            <v>30</v>
          </cell>
          <cell r="L95">
            <v>30</v>
          </cell>
          <cell r="M95">
            <v>300</v>
          </cell>
          <cell r="N95">
            <v>300</v>
          </cell>
          <cell r="O95">
            <v>4</v>
          </cell>
          <cell r="P95">
            <v>4</v>
          </cell>
          <cell r="Q95">
            <v>4</v>
          </cell>
          <cell r="R95">
            <v>4</v>
          </cell>
          <cell r="T95">
            <v>866.52106200000014</v>
          </cell>
          <cell r="U95">
            <v>0.26753652</v>
          </cell>
          <cell r="V95">
            <v>0.26753652</v>
          </cell>
          <cell r="W95">
            <v>2.6753652000000003</v>
          </cell>
          <cell r="X95">
            <v>2.6753652000000003</v>
          </cell>
          <cell r="Y95">
            <v>3.5671535999999997E-2</v>
          </cell>
          <cell r="Z95">
            <v>3.5671535999999997E-2</v>
          </cell>
          <cell r="AA95">
            <v>3.5671535999999997E-2</v>
          </cell>
          <cell r="AB95">
            <v>3.5671535999999997E-2</v>
          </cell>
        </row>
        <row r="96">
          <cell r="B96">
            <v>51</v>
          </cell>
          <cell r="C96" t="str">
            <v>Biodiesel (B100)</v>
          </cell>
          <cell r="D96" t="str">
            <v>Biodiesels</v>
          </cell>
          <cell r="E96" t="str">
            <v>Litros</v>
          </cell>
          <cell r="F96">
            <v>37.681199999999997</v>
          </cell>
          <cell r="G96">
            <v>0.88</v>
          </cell>
          <cell r="H96" t="str">
            <v>BEN 2012</v>
          </cell>
          <cell r="I96">
            <v>70800</v>
          </cell>
          <cell r="J96" t="str">
            <v>IPCC 2006</v>
          </cell>
          <cell r="K96">
            <v>3</v>
          </cell>
          <cell r="L96">
            <v>3</v>
          </cell>
          <cell r="M96">
            <v>10</v>
          </cell>
          <cell r="N96">
            <v>10</v>
          </cell>
          <cell r="O96">
            <v>0.6</v>
          </cell>
          <cell r="P96">
            <v>0.6</v>
          </cell>
          <cell r="Q96">
            <v>0.6</v>
          </cell>
          <cell r="R96">
            <v>0.6</v>
          </cell>
          <cell r="T96">
            <v>2.3476894848000001</v>
          </cell>
          <cell r="U96">
            <v>9.9478368000000005E-5</v>
          </cell>
          <cell r="V96">
            <v>9.9478368000000005E-5</v>
          </cell>
          <cell r="W96">
            <v>3.3159455999999993E-4</v>
          </cell>
          <cell r="X96">
            <v>3.3159455999999993E-4</v>
          </cell>
          <cell r="Y96">
            <v>1.9895673599999999E-5</v>
          </cell>
          <cell r="Z96">
            <v>1.9895673599999999E-5</v>
          </cell>
          <cell r="AA96">
            <v>1.9895673599999999E-5</v>
          </cell>
          <cell r="AB96">
            <v>1.9895673599999999E-5</v>
          </cell>
        </row>
        <row r="97">
          <cell r="B97">
            <v>52</v>
          </cell>
          <cell r="C97" t="str">
            <v>Biogás</v>
          </cell>
          <cell r="D97" t="str">
            <v>Other Biogas</v>
          </cell>
          <cell r="E97" t="str">
            <v>Toneladas</v>
          </cell>
          <cell r="F97">
            <v>50.4</v>
          </cell>
          <cell r="G97">
            <v>1000</v>
          </cell>
          <cell r="H97" t="str">
            <v>IPCC 2006</v>
          </cell>
          <cell r="I97">
            <v>54600</v>
          </cell>
          <cell r="J97" t="str">
            <v>IPCC 2006</v>
          </cell>
          <cell r="K97">
            <v>1</v>
          </cell>
          <cell r="L97">
            <v>1</v>
          </cell>
          <cell r="M97">
            <v>5</v>
          </cell>
          <cell r="N97">
            <v>5</v>
          </cell>
          <cell r="O97">
            <v>0.1</v>
          </cell>
          <cell r="P97">
            <v>0.1</v>
          </cell>
          <cell r="Q97">
            <v>0.1</v>
          </cell>
          <cell r="R97">
            <v>0.1</v>
          </cell>
          <cell r="T97">
            <v>2751.84</v>
          </cell>
          <cell r="U97">
            <v>5.04E-2</v>
          </cell>
          <cell r="V97">
            <v>5.04E-2</v>
          </cell>
          <cell r="W97">
            <v>0.252</v>
          </cell>
          <cell r="X97">
            <v>0.252</v>
          </cell>
          <cell r="Y97">
            <v>5.0400000000000002E-3</v>
          </cell>
          <cell r="Z97">
            <v>5.0400000000000002E-3</v>
          </cell>
          <cell r="AA97">
            <v>5.0400000000000002E-3</v>
          </cell>
          <cell r="AB97">
            <v>5.0400000000000002E-3</v>
          </cell>
        </row>
        <row r="98">
          <cell r="B98">
            <v>53</v>
          </cell>
          <cell r="C98" t="str">
            <v>Caldo de Cana</v>
          </cell>
          <cell r="D98" t="str">
            <v>Other Liquid Biofuels</v>
          </cell>
          <cell r="E98" t="str">
            <v>Toneladas</v>
          </cell>
          <cell r="F98">
            <v>2.5958159999999997</v>
          </cell>
          <cell r="G98">
            <v>1000</v>
          </cell>
          <cell r="H98" t="str">
            <v>BEN 2012</v>
          </cell>
          <cell r="I98">
            <v>73333.333333333328</v>
          </cell>
          <cell r="J98" t="str">
            <v>MCT 2010</v>
          </cell>
          <cell r="K98">
            <v>3</v>
          </cell>
          <cell r="L98">
            <v>3</v>
          </cell>
          <cell r="M98">
            <v>10</v>
          </cell>
          <cell r="N98">
            <v>10</v>
          </cell>
          <cell r="O98">
            <v>0.6</v>
          </cell>
          <cell r="P98">
            <v>0.6</v>
          </cell>
          <cell r="Q98">
            <v>0.6</v>
          </cell>
          <cell r="R98">
            <v>0.6</v>
          </cell>
          <cell r="T98">
            <v>190.35983999999996</v>
          </cell>
          <cell r="U98">
            <v>7.7874479999999998E-3</v>
          </cell>
          <cell r="V98">
            <v>7.7874479999999998E-3</v>
          </cell>
          <cell r="W98">
            <v>2.5958159999999997E-2</v>
          </cell>
          <cell r="X98">
            <v>2.5958159999999997E-2</v>
          </cell>
          <cell r="Y98">
            <v>1.5574895999999998E-3</v>
          </cell>
          <cell r="Z98">
            <v>1.5574895999999998E-3</v>
          </cell>
          <cell r="AA98">
            <v>1.5574895999999998E-3</v>
          </cell>
          <cell r="AB98">
            <v>1.5574895999999998E-3</v>
          </cell>
        </row>
        <row r="99">
          <cell r="B99">
            <v>54</v>
          </cell>
          <cell r="C99" t="str">
            <v>Carvão Vegetal</v>
          </cell>
          <cell r="D99" t="str">
            <v>Charcoal</v>
          </cell>
          <cell r="E99" t="str">
            <v>Toneladas</v>
          </cell>
          <cell r="F99">
            <v>28.260899999999999</v>
          </cell>
          <cell r="G99">
            <v>1000</v>
          </cell>
          <cell r="H99" t="str">
            <v>MCT 2010</v>
          </cell>
          <cell r="I99">
            <v>106700</v>
          </cell>
          <cell r="J99" t="str">
            <v>MCT 2010</v>
          </cell>
          <cell r="K99">
            <v>200</v>
          </cell>
          <cell r="L99">
            <v>200</v>
          </cell>
          <cell r="M99">
            <v>200</v>
          </cell>
          <cell r="N99">
            <v>200</v>
          </cell>
          <cell r="O99">
            <v>4</v>
          </cell>
          <cell r="P99">
            <v>4</v>
          </cell>
          <cell r="Q99">
            <v>1</v>
          </cell>
          <cell r="R99">
            <v>1</v>
          </cell>
          <cell r="T99">
            <v>3015.4380299999998</v>
          </cell>
          <cell r="U99">
            <v>5.6521800000000004</v>
          </cell>
          <cell r="V99">
            <v>5.6521800000000004</v>
          </cell>
          <cell r="W99">
            <v>5.6521800000000004</v>
          </cell>
          <cell r="X99">
            <v>5.6521800000000004</v>
          </cell>
          <cell r="Y99">
            <v>0.11304359999999999</v>
          </cell>
          <cell r="Z99">
            <v>0.11304359999999999</v>
          </cell>
          <cell r="AA99">
            <v>2.8260899999999999E-2</v>
          </cell>
          <cell r="AB99">
            <v>2.8260899999999999E-2</v>
          </cell>
        </row>
        <row r="100">
          <cell r="B100">
            <v>55</v>
          </cell>
          <cell r="C100" t="str">
            <v>Lenha para Carvoejamento</v>
          </cell>
          <cell r="D100" t="str">
            <v>Wood / Wood Waste</v>
          </cell>
          <cell r="E100" t="str">
            <v>Toneladas</v>
          </cell>
          <cell r="F100">
            <v>18.086976</v>
          </cell>
          <cell r="G100">
            <v>1000</v>
          </cell>
          <cell r="H100" t="str">
            <v>MCT 2010</v>
          </cell>
          <cell r="I100">
            <v>49316.666666666664</v>
          </cell>
          <cell r="J100" t="str">
            <v>MCT 2010</v>
          </cell>
          <cell r="K100">
            <v>30</v>
          </cell>
          <cell r="L100">
            <v>30</v>
          </cell>
          <cell r="M100">
            <v>300</v>
          </cell>
          <cell r="N100">
            <v>300</v>
          </cell>
          <cell r="O100">
            <v>4</v>
          </cell>
          <cell r="P100">
            <v>4</v>
          </cell>
          <cell r="Q100">
            <v>4</v>
          </cell>
          <cell r="R100">
            <v>4</v>
          </cell>
          <cell r="T100">
            <v>891.98936639999999</v>
          </cell>
          <cell r="U100">
            <v>0.54260928000000008</v>
          </cell>
          <cell r="V100">
            <v>0.54260928000000008</v>
          </cell>
          <cell r="W100">
            <v>5.426092800000001</v>
          </cell>
          <cell r="X100">
            <v>5.426092800000001</v>
          </cell>
          <cell r="Y100">
            <v>7.2347903999999991E-2</v>
          </cell>
          <cell r="Z100">
            <v>7.2347903999999991E-2</v>
          </cell>
          <cell r="AA100">
            <v>7.2347903999999991E-2</v>
          </cell>
          <cell r="AB100">
            <v>7.2347903999999991E-2</v>
          </cell>
        </row>
        <row r="101">
          <cell r="B101">
            <v>56</v>
          </cell>
          <cell r="C101" t="str">
            <v>Lenha para Queima Direta</v>
          </cell>
          <cell r="D101" t="str">
            <v>Wood / Wood Waste</v>
          </cell>
          <cell r="E101" t="str">
            <v>Toneladas</v>
          </cell>
          <cell r="F101">
            <v>18.086976</v>
          </cell>
          <cell r="G101">
            <v>1000</v>
          </cell>
          <cell r="H101" t="str">
            <v>MCT 2010</v>
          </cell>
          <cell r="I101">
            <v>105966.66666666666</v>
          </cell>
          <cell r="J101" t="str">
            <v>MCT 2010</v>
          </cell>
          <cell r="K101">
            <v>30</v>
          </cell>
          <cell r="L101">
            <v>30</v>
          </cell>
          <cell r="M101">
            <v>300</v>
          </cell>
          <cell r="N101">
            <v>300</v>
          </cell>
          <cell r="O101">
            <v>4</v>
          </cell>
          <cell r="P101">
            <v>4</v>
          </cell>
          <cell r="Q101">
            <v>4</v>
          </cell>
          <cell r="R101">
            <v>4</v>
          </cell>
          <cell r="T101">
            <v>1916.6165567999999</v>
          </cell>
          <cell r="U101">
            <v>0.54260928000000008</v>
          </cell>
          <cell r="V101">
            <v>0.54260928000000008</v>
          </cell>
          <cell r="W101">
            <v>5.426092800000001</v>
          </cell>
          <cell r="X101">
            <v>5.426092800000001</v>
          </cell>
          <cell r="Y101">
            <v>7.2347903999999991E-2</v>
          </cell>
          <cell r="Z101">
            <v>7.2347903999999991E-2</v>
          </cell>
          <cell r="AA101">
            <v>7.2347903999999991E-2</v>
          </cell>
          <cell r="AB101">
            <v>7.2347903999999991E-2</v>
          </cell>
        </row>
        <row r="102">
          <cell r="B102">
            <v>57</v>
          </cell>
          <cell r="C102" t="str">
            <v>Licor Negro (Lixívia)</v>
          </cell>
          <cell r="D102" t="str">
            <v>Sulphite lyes (Black Liquor)</v>
          </cell>
          <cell r="E102" t="str">
            <v>Toneladas</v>
          </cell>
          <cell r="F102">
            <v>11.974247999999999</v>
          </cell>
          <cell r="G102">
            <v>1000</v>
          </cell>
          <cell r="H102" t="str">
            <v>BEN 2012</v>
          </cell>
          <cell r="I102">
            <v>95300</v>
          </cell>
          <cell r="J102" t="str">
            <v>IPCC 2006</v>
          </cell>
          <cell r="K102">
            <v>3</v>
          </cell>
          <cell r="L102">
            <v>3</v>
          </cell>
          <cell r="M102">
            <v>3</v>
          </cell>
          <cell r="N102">
            <v>3</v>
          </cell>
          <cell r="O102">
            <v>2</v>
          </cell>
          <cell r="P102">
            <v>2</v>
          </cell>
          <cell r="Q102">
            <v>2</v>
          </cell>
          <cell r="R102">
            <v>2</v>
          </cell>
          <cell r="T102">
            <v>1141.1458344</v>
          </cell>
          <cell r="U102">
            <v>3.5922743999999993E-2</v>
          </cell>
          <cell r="V102">
            <v>3.5922743999999993E-2</v>
          </cell>
          <cell r="W102">
            <v>3.5922743999999993E-2</v>
          </cell>
          <cell r="X102">
            <v>3.5922743999999993E-2</v>
          </cell>
          <cell r="Y102">
            <v>2.3948496E-2</v>
          </cell>
          <cell r="Z102">
            <v>2.3948496E-2</v>
          </cell>
          <cell r="AA102">
            <v>2.3948496E-2</v>
          </cell>
          <cell r="AB102">
            <v>2.3948496E-2</v>
          </cell>
        </row>
        <row r="103">
          <cell r="B103">
            <v>58</v>
          </cell>
          <cell r="C103" t="str">
            <v>Melaço</v>
          </cell>
          <cell r="D103" t="str">
            <v>Other Liquid Biofuels</v>
          </cell>
          <cell r="E103" t="str">
            <v>Toneladas</v>
          </cell>
          <cell r="F103">
            <v>7.7455800000000004</v>
          </cell>
          <cell r="G103">
            <v>1000</v>
          </cell>
          <cell r="H103" t="str">
            <v>BEN 2012</v>
          </cell>
          <cell r="I103">
            <v>73333.333333333328</v>
          </cell>
          <cell r="J103" t="str">
            <v>MCT 2010</v>
          </cell>
          <cell r="K103">
            <v>3</v>
          </cell>
          <cell r="L103">
            <v>3</v>
          </cell>
          <cell r="M103">
            <v>10</v>
          </cell>
          <cell r="N103">
            <v>10</v>
          </cell>
          <cell r="O103">
            <v>0.6</v>
          </cell>
          <cell r="P103">
            <v>0.6</v>
          </cell>
          <cell r="Q103">
            <v>0.6</v>
          </cell>
          <cell r="R103">
            <v>0.6</v>
          </cell>
          <cell r="T103">
            <v>568.00919999999996</v>
          </cell>
          <cell r="U103">
            <v>2.3236740000000002E-2</v>
          </cell>
          <cell r="V103">
            <v>2.3236740000000002E-2</v>
          </cell>
          <cell r="W103">
            <v>7.7455800000000019E-2</v>
          </cell>
          <cell r="X103">
            <v>7.7455800000000019E-2</v>
          </cell>
          <cell r="Y103">
            <v>4.6473479999999999E-3</v>
          </cell>
          <cell r="Z103">
            <v>4.6473479999999999E-3</v>
          </cell>
          <cell r="AA103">
            <v>4.6473479999999999E-3</v>
          </cell>
          <cell r="AB103">
            <v>4.6473479999999999E-3</v>
          </cell>
        </row>
        <row r="104">
          <cell r="B104">
            <v>59</v>
          </cell>
          <cell r="C104" t="str">
            <v>Resíduos Municipais (fração biomassa)</v>
          </cell>
          <cell r="D104" t="str">
            <v>Municipal Wastes (biomass fraction)</v>
          </cell>
          <cell r="E104" t="str">
            <v>Toneladas</v>
          </cell>
          <cell r="F104">
            <v>11.6</v>
          </cell>
          <cell r="G104">
            <v>1000</v>
          </cell>
          <cell r="H104" t="str">
            <v>IPCC 2006</v>
          </cell>
          <cell r="I104">
            <v>100000</v>
          </cell>
          <cell r="J104" t="str">
            <v>IPCC 2006</v>
          </cell>
          <cell r="K104">
            <v>30</v>
          </cell>
          <cell r="L104">
            <v>30</v>
          </cell>
          <cell r="M104">
            <v>300</v>
          </cell>
          <cell r="N104">
            <v>300</v>
          </cell>
          <cell r="O104">
            <v>4</v>
          </cell>
          <cell r="P104">
            <v>4</v>
          </cell>
          <cell r="Q104">
            <v>4</v>
          </cell>
          <cell r="R104">
            <v>4</v>
          </cell>
          <cell r="T104">
            <v>1160</v>
          </cell>
          <cell r="U104">
            <v>0.34799999999999998</v>
          </cell>
          <cell r="V104">
            <v>0.34799999999999998</v>
          </cell>
          <cell r="W104">
            <v>3.48</v>
          </cell>
          <cell r="X104">
            <v>3.48</v>
          </cell>
          <cell r="Y104">
            <v>4.6399999999999997E-2</v>
          </cell>
          <cell r="Z104">
            <v>4.6399999999999997E-2</v>
          </cell>
          <cell r="AA104">
            <v>4.6399999999999997E-2</v>
          </cell>
          <cell r="AB104">
            <v>4.6399999999999997E-2</v>
          </cell>
        </row>
        <row r="105">
          <cell r="B105">
            <v>60</v>
          </cell>
          <cell r="C105" t="str">
            <v>Resíduos Vegetais</v>
          </cell>
          <cell r="D105" t="str">
            <v>Other Primary Solid Biomass</v>
          </cell>
          <cell r="E105" t="str">
            <v>Toneladas</v>
          </cell>
          <cell r="F105">
            <v>11.6</v>
          </cell>
          <cell r="G105">
            <v>1000</v>
          </cell>
          <cell r="H105" t="str">
            <v>MCT 2010</v>
          </cell>
          <cell r="I105">
            <v>100000</v>
          </cell>
          <cell r="J105" t="str">
            <v>MCT 2010</v>
          </cell>
          <cell r="K105">
            <v>30</v>
          </cell>
          <cell r="L105">
            <v>30</v>
          </cell>
          <cell r="M105">
            <v>300</v>
          </cell>
          <cell r="N105">
            <v>300</v>
          </cell>
          <cell r="O105">
            <v>4</v>
          </cell>
          <cell r="P105">
            <v>4</v>
          </cell>
          <cell r="Q105">
            <v>4</v>
          </cell>
          <cell r="R105">
            <v>4</v>
          </cell>
          <cell r="T105">
            <v>1160</v>
          </cell>
          <cell r="U105">
            <v>0.34799999999999998</v>
          </cell>
          <cell r="V105">
            <v>0.34799999999999998</v>
          </cell>
          <cell r="W105">
            <v>3.48</v>
          </cell>
          <cell r="X105">
            <v>3.48</v>
          </cell>
          <cell r="Y105">
            <v>4.6399999999999997E-2</v>
          </cell>
          <cell r="Z105">
            <v>4.6399999999999997E-2</v>
          </cell>
          <cell r="AA105">
            <v>4.6399999999999997E-2</v>
          </cell>
          <cell r="AB105">
            <v>4.6399999999999997E-2</v>
          </cell>
        </row>
        <row r="115">
          <cell r="C115" t="str">
            <v>Gasolina A (pura)</v>
          </cell>
          <cell r="D115" t="str">
            <v>Litros</v>
          </cell>
          <cell r="E115">
            <v>10400</v>
          </cell>
          <cell r="F115">
            <v>0.74</v>
          </cell>
          <cell r="G115" t="str">
            <v>BEN 2012</v>
          </cell>
          <cell r="H115">
            <v>2.2690000000000001</v>
          </cell>
          <cell r="I115">
            <v>8.0554032000000001E-4</v>
          </cell>
          <cell r="J115">
            <v>2.5777290240000002E-4</v>
          </cell>
        </row>
        <row r="116">
          <cell r="C116" t="str">
            <v>Óleo Diesel</v>
          </cell>
          <cell r="D116" t="str">
            <v>Litros</v>
          </cell>
          <cell r="E116">
            <v>10100</v>
          </cell>
          <cell r="F116">
            <v>0.84</v>
          </cell>
          <cell r="G116" t="str">
            <v>BEN 2012</v>
          </cell>
          <cell r="H116">
            <v>2.6709999999999998</v>
          </cell>
          <cell r="I116">
            <v>1.3853116368000001E-4</v>
          </cell>
          <cell r="J116">
            <v>1.3853116368000001E-4</v>
          </cell>
        </row>
        <row r="117">
          <cell r="C117" t="str">
            <v>Gás Natural Veicular (GNV)</v>
          </cell>
          <cell r="D117" t="str">
            <v>m³</v>
          </cell>
          <cell r="E117">
            <v>8800</v>
          </cell>
          <cell r="F117">
            <v>1</v>
          </cell>
          <cell r="G117" t="str">
            <v>BEN 2012</v>
          </cell>
          <cell r="H117">
            <v>1.9990000000000001</v>
          </cell>
          <cell r="I117">
            <v>3.3896332800000002E-3</v>
          </cell>
          <cell r="J117">
            <v>1.1053152E-4</v>
          </cell>
        </row>
        <row r="118">
          <cell r="C118" t="str">
            <v>Gás Liquefeito de Petróleo (GLP)</v>
          </cell>
          <cell r="D118" t="str">
            <v>kg</v>
          </cell>
          <cell r="E118">
            <v>11100</v>
          </cell>
          <cell r="F118">
            <v>1</v>
          </cell>
          <cell r="G118" t="str">
            <v>BEN 2012</v>
          </cell>
          <cell r="H118">
            <v>2.9324765880000001</v>
          </cell>
          <cell r="I118">
            <v>2.8813557599999999E-3</v>
          </cell>
          <cell r="J118">
            <v>9.294696E-6</v>
          </cell>
        </row>
        <row r="119">
          <cell r="C119" t="str">
            <v>Jet Fuel</v>
          </cell>
          <cell r="D119" t="str">
            <v>Litros</v>
          </cell>
          <cell r="E119">
            <v>10400</v>
          </cell>
          <cell r="F119">
            <v>0.79</v>
          </cell>
          <cell r="G119" t="str">
            <v>BEN 2012</v>
          </cell>
          <cell r="H119">
            <v>2.47327003872</v>
          </cell>
          <cell r="I119">
            <v>0</v>
          </cell>
          <cell r="J119">
            <v>0</v>
          </cell>
        </row>
        <row r="120">
          <cell r="C120" t="str">
            <v>Gasolina de Aviação</v>
          </cell>
          <cell r="D120" t="str">
            <v>Litros</v>
          </cell>
          <cell r="E120">
            <v>10600</v>
          </cell>
          <cell r="F120">
            <v>0.72</v>
          </cell>
          <cell r="G120" t="str">
            <v>BEN 2012</v>
          </cell>
          <cell r="H120">
            <v>2.2319999999999998</v>
          </cell>
          <cell r="I120">
            <v>1.5948E-5</v>
          </cell>
          <cell r="J120">
            <v>6.3792000000000002E-5</v>
          </cell>
        </row>
        <row r="121">
          <cell r="C121" t="str">
            <v>Lubrificantes</v>
          </cell>
          <cell r="D121" t="str">
            <v>Litros</v>
          </cell>
          <cell r="E121">
            <v>10120</v>
          </cell>
          <cell r="F121">
            <v>0.88</v>
          </cell>
          <cell r="G121" t="str">
            <v>BEN 2012</v>
          </cell>
          <cell r="H121">
            <v>2.7330613136639998</v>
          </cell>
          <cell r="I121">
            <v>0</v>
          </cell>
          <cell r="J121">
            <v>0</v>
          </cell>
        </row>
        <row r="122">
          <cell r="C122" t="str">
            <v>Óleo combustível residual (3s 5 e 6)</v>
          </cell>
          <cell r="D122" t="str">
            <v>Litros</v>
          </cell>
          <cell r="E122" t="str">
            <v>-</v>
          </cell>
          <cell r="F122" t="str">
            <v>-</v>
          </cell>
          <cell r="G122" t="str">
            <v>-</v>
          </cell>
          <cell r="H122">
            <v>3.11723022112009</v>
          </cell>
          <cell r="I122">
            <v>0</v>
          </cell>
          <cell r="J122">
            <v>0</v>
          </cell>
        </row>
        <row r="123">
          <cell r="C123" t="str">
            <v>Gás Natural Liquefeito</v>
          </cell>
          <cell r="D123" t="str">
            <v>m³</v>
          </cell>
          <cell r="E123">
            <v>8800</v>
          </cell>
          <cell r="F123" t="str">
            <v>-</v>
          </cell>
          <cell r="G123" t="str">
            <v>BEN 2012</v>
          </cell>
          <cell r="H123">
            <v>2.0669394240000001</v>
          </cell>
          <cell r="I123">
            <v>3.3896332800000002E-3</v>
          </cell>
          <cell r="J123">
            <v>1.1053152E-4</v>
          </cell>
        </row>
        <row r="124">
          <cell r="C124">
            <v>0</v>
          </cell>
          <cell r="D124">
            <v>0</v>
          </cell>
          <cell r="E124">
            <v>0</v>
          </cell>
          <cell r="F124">
            <v>0</v>
          </cell>
          <cell r="G124">
            <v>0</v>
          </cell>
          <cell r="H124">
            <v>0</v>
          </cell>
          <cell r="I124">
            <v>0</v>
          </cell>
          <cell r="J124">
            <v>0</v>
          </cell>
        </row>
        <row r="125">
          <cell r="C125" t="str">
            <v>Tabela 4. Fatores de emissão por utilização biocombustível em fontes móveis</v>
          </cell>
          <cell r="D125">
            <v>0</v>
          </cell>
          <cell r="E125">
            <v>0</v>
          </cell>
          <cell r="F125">
            <v>0</v>
          </cell>
          <cell r="G125">
            <v>0</v>
          </cell>
          <cell r="H125">
            <v>0</v>
          </cell>
          <cell r="I125">
            <v>0</v>
          </cell>
          <cell r="J125">
            <v>0</v>
          </cell>
        </row>
        <row r="126">
          <cell r="C126" t="str">
            <v>Combustível</v>
          </cell>
          <cell r="D126" t="str">
            <v>Unidade</v>
          </cell>
          <cell r="E126" t="str">
            <v>Poder Calorífico Inferior</v>
          </cell>
          <cell r="F126" t="str">
            <v>Densidade</v>
          </cell>
          <cell r="G126" t="str">
            <v>Fonte</v>
          </cell>
          <cell r="H126" t="str">
            <v>Fatores de Emissão</v>
          </cell>
          <cell r="I126">
            <v>0</v>
          </cell>
          <cell r="J126">
            <v>0</v>
          </cell>
        </row>
        <row r="127">
          <cell r="C127">
            <v>0</v>
          </cell>
          <cell r="D127">
            <v>0</v>
          </cell>
          <cell r="E127" t="str">
            <v>(kcal/kg)</v>
          </cell>
          <cell r="F127" t="str">
            <v>(kg/unidade)</v>
          </cell>
          <cell r="G127">
            <v>0</v>
          </cell>
          <cell r="H127" t="str">
            <v>CO2</v>
          </cell>
          <cell r="I127" t="str">
            <v>CH4</v>
          </cell>
          <cell r="J127" t="str">
            <v>N2O</v>
          </cell>
        </row>
        <row r="128">
          <cell r="C128" t="str">
            <v>Etanol Hidratado (E100)</v>
          </cell>
          <cell r="D128" t="str">
            <v>Litros</v>
          </cell>
          <cell r="E128">
            <v>6300</v>
          </cell>
          <cell r="F128">
            <v>0.80900000000000005</v>
          </cell>
          <cell r="G128" t="str">
            <v>BEN 2012</v>
          </cell>
          <cell r="H128">
            <v>1.1779999999999999</v>
          </cell>
          <cell r="I128">
            <v>3.8409954408000002E-4</v>
          </cell>
          <cell r="J128">
            <v>0</v>
          </cell>
        </row>
        <row r="129">
          <cell r="C129" t="str">
            <v>Biodiesel</v>
          </cell>
          <cell r="D129" t="str">
            <v>Litros</v>
          </cell>
          <cell r="E129" t="str">
            <v>-</v>
          </cell>
          <cell r="F129" t="str">
            <v>-</v>
          </cell>
          <cell r="G129" t="str">
            <v>-</v>
          </cell>
          <cell r="H129">
            <v>2.4990676179488198</v>
          </cell>
          <cell r="I129">
            <v>0</v>
          </cell>
          <cell r="J129">
            <v>0</v>
          </cell>
        </row>
        <row r="130">
          <cell r="C130" t="str">
            <v>Etanol Anidro</v>
          </cell>
          <cell r="D130" t="str">
            <v>Litros</v>
          </cell>
          <cell r="E130">
            <v>6750</v>
          </cell>
          <cell r="F130">
            <v>0.79100000000000004</v>
          </cell>
          <cell r="G130" t="str">
            <v>BEN 2012</v>
          </cell>
          <cell r="H130">
            <v>1.2330000000000001</v>
          </cell>
          <cell r="I130">
            <v>0</v>
          </cell>
          <cell r="J130">
            <v>0</v>
          </cell>
        </row>
        <row r="137">
          <cell r="I137">
            <v>1990</v>
          </cell>
          <cell r="J137">
            <v>1991</v>
          </cell>
          <cell r="K137">
            <v>1992</v>
          </cell>
          <cell r="L137">
            <v>1993</v>
          </cell>
          <cell r="M137">
            <v>1994</v>
          </cell>
          <cell r="N137">
            <v>1995</v>
          </cell>
          <cell r="O137">
            <v>1996</v>
          </cell>
          <cell r="P137">
            <v>1997</v>
          </cell>
          <cell r="Q137">
            <v>1998</v>
          </cell>
          <cell r="R137">
            <v>1999</v>
          </cell>
          <cell r="S137">
            <v>2000</v>
          </cell>
          <cell r="T137">
            <v>2001</v>
          </cell>
          <cell r="U137">
            <v>2002</v>
          </cell>
          <cell r="V137">
            <v>2003</v>
          </cell>
          <cell r="W137">
            <v>2004</v>
          </cell>
          <cell r="X137">
            <v>2005</v>
          </cell>
          <cell r="Y137">
            <v>2006</v>
          </cell>
          <cell r="Z137">
            <v>2007</v>
          </cell>
          <cell r="AA137">
            <v>2008</v>
          </cell>
          <cell r="AB137">
            <v>2009</v>
          </cell>
          <cell r="AC137">
            <v>2010</v>
          </cell>
          <cell r="AD137">
            <v>2011</v>
          </cell>
          <cell r="AE137">
            <v>2012</v>
          </cell>
          <cell r="AF137">
            <v>1990</v>
          </cell>
          <cell r="AG137">
            <v>1991</v>
          </cell>
          <cell r="AH137">
            <v>1992</v>
          </cell>
          <cell r="AI137">
            <v>1993</v>
          </cell>
          <cell r="AJ137">
            <v>1994</v>
          </cell>
          <cell r="AK137">
            <v>1995</v>
          </cell>
          <cell r="AL137">
            <v>1996</v>
          </cell>
          <cell r="AM137">
            <v>1997</v>
          </cell>
          <cell r="AN137">
            <v>1998</v>
          </cell>
          <cell r="AO137">
            <v>1999</v>
          </cell>
          <cell r="AP137">
            <v>2000</v>
          </cell>
          <cell r="AQ137">
            <v>2001</v>
          </cell>
          <cell r="AR137">
            <v>2002</v>
          </cell>
          <cell r="AS137">
            <v>2003</v>
          </cell>
          <cell r="AT137">
            <v>2004</v>
          </cell>
          <cell r="AU137">
            <v>2005</v>
          </cell>
          <cell r="AV137">
            <v>2006</v>
          </cell>
          <cell r="AW137">
            <v>2007</v>
          </cell>
          <cell r="AX137">
            <v>2008</v>
          </cell>
          <cell r="AY137">
            <v>2009</v>
          </cell>
          <cell r="AZ137">
            <v>2010</v>
          </cell>
          <cell r="BA137">
            <v>2011</v>
          </cell>
          <cell r="BB137">
            <v>2012</v>
          </cell>
          <cell r="BC137">
            <v>1990</v>
          </cell>
          <cell r="BD137">
            <v>1991</v>
          </cell>
          <cell r="BE137">
            <v>1992</v>
          </cell>
          <cell r="BF137">
            <v>1993</v>
          </cell>
          <cell r="BG137">
            <v>1994</v>
          </cell>
          <cell r="BH137">
            <v>1995</v>
          </cell>
          <cell r="BI137">
            <v>1996</v>
          </cell>
          <cell r="BJ137">
            <v>1997</v>
          </cell>
          <cell r="BK137">
            <v>1998</v>
          </cell>
          <cell r="BL137">
            <v>1999</v>
          </cell>
          <cell r="BM137">
            <v>2000</v>
          </cell>
          <cell r="BN137">
            <v>2001</v>
          </cell>
          <cell r="BO137">
            <v>2002</v>
          </cell>
          <cell r="BP137">
            <v>2003</v>
          </cell>
          <cell r="BQ137">
            <v>2004</v>
          </cell>
          <cell r="BR137">
            <v>2005</v>
          </cell>
          <cell r="BS137">
            <v>2006</v>
          </cell>
          <cell r="BT137">
            <v>2007</v>
          </cell>
          <cell r="BU137">
            <v>2008</v>
          </cell>
          <cell r="BV137">
            <v>2009</v>
          </cell>
          <cell r="BW137">
            <v>2010</v>
          </cell>
          <cell r="BX137">
            <v>2011</v>
          </cell>
          <cell r="BY137">
            <v>2012</v>
          </cell>
        </row>
        <row r="138">
          <cell r="I138">
            <v>2</v>
          </cell>
          <cell r="J138">
            <v>3</v>
          </cell>
          <cell r="K138">
            <v>4</v>
          </cell>
          <cell r="L138">
            <v>5</v>
          </cell>
          <cell r="M138">
            <v>6</v>
          </cell>
          <cell r="N138">
            <v>7</v>
          </cell>
          <cell r="O138">
            <v>8</v>
          </cell>
          <cell r="P138">
            <v>9</v>
          </cell>
          <cell r="Q138">
            <v>10</v>
          </cell>
          <cell r="R138">
            <v>11</v>
          </cell>
          <cell r="S138">
            <v>12</v>
          </cell>
          <cell r="T138">
            <v>13</v>
          </cell>
          <cell r="U138">
            <v>14</v>
          </cell>
          <cell r="V138">
            <v>15</v>
          </cell>
          <cell r="W138">
            <v>16</v>
          </cell>
          <cell r="X138">
            <v>17</v>
          </cell>
          <cell r="Y138">
            <v>18</v>
          </cell>
          <cell r="Z138">
            <v>19</v>
          </cell>
          <cell r="AA138">
            <v>20</v>
          </cell>
          <cell r="AB138">
            <v>21</v>
          </cell>
          <cell r="AC138">
            <v>22</v>
          </cell>
          <cell r="AD138">
            <v>23</v>
          </cell>
          <cell r="AE138">
            <v>24</v>
          </cell>
          <cell r="AF138">
            <v>25</v>
          </cell>
          <cell r="AG138">
            <v>26</v>
          </cell>
          <cell r="AH138">
            <v>27</v>
          </cell>
          <cell r="AI138">
            <v>28</v>
          </cell>
          <cell r="AJ138">
            <v>29</v>
          </cell>
          <cell r="AK138">
            <v>30</v>
          </cell>
          <cell r="AL138">
            <v>31</v>
          </cell>
          <cell r="AM138">
            <v>32</v>
          </cell>
          <cell r="AN138">
            <v>33</v>
          </cell>
          <cell r="AO138">
            <v>34</v>
          </cell>
          <cell r="AP138">
            <v>35</v>
          </cell>
          <cell r="AQ138">
            <v>36</v>
          </cell>
          <cell r="AR138">
            <v>37</v>
          </cell>
          <cell r="AS138">
            <v>38</v>
          </cell>
          <cell r="AT138">
            <v>39</v>
          </cell>
          <cell r="AU138">
            <v>40</v>
          </cell>
          <cell r="AV138">
            <v>41</v>
          </cell>
          <cell r="AW138">
            <v>42</v>
          </cell>
          <cell r="AX138">
            <v>43</v>
          </cell>
          <cell r="AY138">
            <v>44</v>
          </cell>
          <cell r="AZ138">
            <v>45</v>
          </cell>
          <cell r="BA138">
            <v>46</v>
          </cell>
          <cell r="BB138">
            <v>47</v>
          </cell>
          <cell r="BC138">
            <v>48</v>
          </cell>
          <cell r="BD138">
            <v>49</v>
          </cell>
          <cell r="BE138">
            <v>50</v>
          </cell>
          <cell r="BF138">
            <v>51</v>
          </cell>
          <cell r="BG138">
            <v>52</v>
          </cell>
          <cell r="BH138">
            <v>53</v>
          </cell>
          <cell r="BI138">
            <v>54</v>
          </cell>
          <cell r="BJ138">
            <v>55</v>
          </cell>
          <cell r="BK138">
            <v>56</v>
          </cell>
          <cell r="BL138">
            <v>57</v>
          </cell>
          <cell r="BM138">
            <v>58</v>
          </cell>
          <cell r="BN138">
            <v>59</v>
          </cell>
          <cell r="BO138">
            <v>60</v>
          </cell>
          <cell r="BP138">
            <v>61</v>
          </cell>
          <cell r="BQ138">
            <v>62</v>
          </cell>
          <cell r="BR138">
            <v>63</v>
          </cell>
          <cell r="BS138">
            <v>64</v>
          </cell>
          <cell r="BT138">
            <v>65</v>
          </cell>
          <cell r="BU138">
            <v>66</v>
          </cell>
          <cell r="BV138">
            <v>67</v>
          </cell>
          <cell r="BW138">
            <v>68</v>
          </cell>
          <cell r="BX138">
            <v>69</v>
          </cell>
          <cell r="BY138">
            <v>70</v>
          </cell>
        </row>
        <row r="139">
          <cell r="H139" t="str">
            <v>Veículo de passeio a gasolina</v>
          </cell>
          <cell r="I139">
            <v>2.2690000000000001</v>
          </cell>
          <cell r="J139">
            <v>2.2690000000000001</v>
          </cell>
          <cell r="K139">
            <v>2.2690000000000001</v>
          </cell>
          <cell r="L139">
            <v>2.2690000000000001</v>
          </cell>
          <cell r="M139">
            <v>2.2690000000000001</v>
          </cell>
          <cell r="N139">
            <v>2.2690000000000001</v>
          </cell>
          <cell r="O139">
            <v>2.2690000000000001</v>
          </cell>
          <cell r="P139">
            <v>2.2690000000000001</v>
          </cell>
          <cell r="Q139">
            <v>2.2690000000000001</v>
          </cell>
          <cell r="R139">
            <v>2.2690000000000001</v>
          </cell>
          <cell r="S139">
            <v>2.2690000000000001</v>
          </cell>
          <cell r="T139">
            <v>2.2690000000000001</v>
          </cell>
          <cell r="U139">
            <v>2.2690000000000001</v>
          </cell>
          <cell r="V139">
            <v>2.2690000000000001</v>
          </cell>
          <cell r="W139">
            <v>2.2690000000000001</v>
          </cell>
          <cell r="X139">
            <v>2.2690000000000001</v>
          </cell>
          <cell r="Y139">
            <v>2.2690000000000001</v>
          </cell>
          <cell r="Z139">
            <v>2.2690000000000001</v>
          </cell>
          <cell r="AA139">
            <v>2.2690000000000001</v>
          </cell>
          <cell r="AB139">
            <v>2.2690000000000001</v>
          </cell>
          <cell r="AC139">
            <v>2.2690000000000001</v>
          </cell>
          <cell r="AD139">
            <v>2.2690000000000001</v>
          </cell>
          <cell r="AE139">
            <v>2.2690000000000001</v>
          </cell>
          <cell r="AF139">
            <v>2.9321667648000001E-4</v>
          </cell>
          <cell r="AG139">
            <v>2.9321667648000001E-4</v>
          </cell>
          <cell r="AH139">
            <v>2.8677235391999999E-4</v>
          </cell>
          <cell r="AI139">
            <v>2.7388370880000002E-4</v>
          </cell>
          <cell r="AJ139">
            <v>2.5777290240000002E-4</v>
          </cell>
          <cell r="AK139">
            <v>2.4166209599999999E-4</v>
          </cell>
          <cell r="AL139">
            <v>2.1910696704000002E-4</v>
          </cell>
          <cell r="AM139">
            <v>1.9655183807999998E-4</v>
          </cell>
          <cell r="AN139">
            <v>1.772188704E-4</v>
          </cell>
          <cell r="AO139">
            <v>1.6110806399999999E-4</v>
          </cell>
          <cell r="AP139">
            <v>1.4499725759999999E-4</v>
          </cell>
          <cell r="AQ139">
            <v>1.3210861247999999E-4</v>
          </cell>
          <cell r="AR139">
            <v>1.1921996736000002E-4</v>
          </cell>
          <cell r="AS139">
            <v>1.0955348352000001E-4</v>
          </cell>
          <cell r="AT139">
            <v>1.0310916096000001E-4</v>
          </cell>
          <cell r="AU139">
            <v>9.66648384E-5</v>
          </cell>
          <cell r="AV139">
            <v>9.66648384E-5</v>
          </cell>
          <cell r="AW139">
            <v>9.66648384E-5</v>
          </cell>
          <cell r="AX139">
            <v>9.66648384E-5</v>
          </cell>
          <cell r="AY139">
            <v>9.66648384E-5</v>
          </cell>
          <cell r="AZ139">
            <v>9.66648384E-5</v>
          </cell>
          <cell r="BA139">
            <v>9.66648384E-5</v>
          </cell>
          <cell r="BB139">
            <v>9.66648384E-5</v>
          </cell>
          <cell r="BC139">
            <v>6.3798793344000006E-5</v>
          </cell>
          <cell r="BD139">
            <v>6.3798793344000006E-5</v>
          </cell>
          <cell r="BE139">
            <v>6.3798793344000006E-5</v>
          </cell>
          <cell r="BF139">
            <v>6.3798793344000006E-5</v>
          </cell>
          <cell r="BG139">
            <v>6.3798793344000006E-5</v>
          </cell>
          <cell r="BH139">
            <v>6.3798793344000006E-5</v>
          </cell>
          <cell r="BI139">
            <v>6.3798793344000006E-5</v>
          </cell>
          <cell r="BJ139">
            <v>6.3798793344000006E-5</v>
          </cell>
          <cell r="BK139">
            <v>6.3798793344000006E-5</v>
          </cell>
          <cell r="BL139">
            <v>6.3798793344000006E-5</v>
          </cell>
          <cell r="BM139">
            <v>6.3798793344000006E-5</v>
          </cell>
          <cell r="BN139">
            <v>6.3798793344000006E-5</v>
          </cell>
          <cell r="BO139">
            <v>6.3798793344000006E-5</v>
          </cell>
          <cell r="BP139">
            <v>6.3798793344000006E-5</v>
          </cell>
          <cell r="BQ139">
            <v>6.3798793344000006E-5</v>
          </cell>
          <cell r="BR139">
            <v>6.3798793344000006E-5</v>
          </cell>
          <cell r="BS139">
            <v>6.3798793344000006E-5</v>
          </cell>
          <cell r="BT139">
            <v>6.3798793344000006E-5</v>
          </cell>
          <cell r="BU139">
            <v>6.3798793344000006E-5</v>
          </cell>
          <cell r="BV139">
            <v>6.3798793344000006E-5</v>
          </cell>
          <cell r="BW139">
            <v>6.3798793344000006E-5</v>
          </cell>
          <cell r="BX139">
            <v>6.3798793344000006E-5</v>
          </cell>
          <cell r="BY139">
            <v>6.3798793344000006E-5</v>
          </cell>
        </row>
        <row r="140">
          <cell r="H140" t="str">
            <v>Veículo de passeio flex a gasolina</v>
          </cell>
          <cell r="I140" t="str">
            <v>-</v>
          </cell>
          <cell r="J140" t="str">
            <v>-</v>
          </cell>
          <cell r="K140" t="str">
            <v>-</v>
          </cell>
          <cell r="L140" t="str">
            <v>-</v>
          </cell>
          <cell r="M140" t="str">
            <v>-</v>
          </cell>
          <cell r="N140" t="str">
            <v>-</v>
          </cell>
          <cell r="O140" t="str">
            <v>-</v>
          </cell>
          <cell r="P140" t="str">
            <v>-</v>
          </cell>
          <cell r="Q140" t="str">
            <v>-</v>
          </cell>
          <cell r="R140" t="str">
            <v>-</v>
          </cell>
          <cell r="S140" t="str">
            <v>-</v>
          </cell>
          <cell r="T140" t="str">
            <v>-</v>
          </cell>
          <cell r="U140" t="str">
            <v>-</v>
          </cell>
          <cell r="V140">
            <v>2.2690000000000001</v>
          </cell>
          <cell r="W140">
            <v>2.2690000000000001</v>
          </cell>
          <cell r="X140">
            <v>2.2690000000000001</v>
          </cell>
          <cell r="Y140">
            <v>2.2690000000000001</v>
          </cell>
          <cell r="Z140">
            <v>2.2690000000000001</v>
          </cell>
          <cell r="AA140">
            <v>2.2690000000000001</v>
          </cell>
          <cell r="AB140">
            <v>2.2690000000000001</v>
          </cell>
          <cell r="AC140">
            <v>2.2690000000000001</v>
          </cell>
          <cell r="AD140">
            <v>2.2690000000000001</v>
          </cell>
          <cell r="AE140">
            <v>2.2690000000000001</v>
          </cell>
          <cell r="AF140" t="str">
            <v>-</v>
          </cell>
          <cell r="AG140" t="str">
            <v>-</v>
          </cell>
          <cell r="AH140" t="str">
            <v>-</v>
          </cell>
          <cell r="AI140" t="str">
            <v>-</v>
          </cell>
          <cell r="AJ140" t="str">
            <v>-</v>
          </cell>
          <cell r="AK140" t="str">
            <v>-</v>
          </cell>
          <cell r="AL140" t="str">
            <v>-</v>
          </cell>
          <cell r="AM140" t="str">
            <v>-</v>
          </cell>
          <cell r="AN140" t="str">
            <v>-</v>
          </cell>
          <cell r="AO140" t="str">
            <v>-</v>
          </cell>
          <cell r="AP140" t="str">
            <v>-</v>
          </cell>
          <cell r="AQ140" t="str">
            <v>-</v>
          </cell>
          <cell r="AR140" t="str">
            <v>-</v>
          </cell>
          <cell r="AS140">
            <v>1.0955348352000001E-4</v>
          </cell>
          <cell r="AT140">
            <v>1.0310916096000001E-4</v>
          </cell>
          <cell r="AU140">
            <v>9.66648384E-5</v>
          </cell>
          <cell r="AV140">
            <v>9.66648384E-5</v>
          </cell>
          <cell r="AW140">
            <v>9.66648384E-5</v>
          </cell>
          <cell r="AX140">
            <v>9.66648384E-5</v>
          </cell>
          <cell r="AY140">
            <v>9.66648384E-5</v>
          </cell>
          <cell r="AZ140">
            <v>9.66648384E-5</v>
          </cell>
          <cell r="BA140">
            <v>9.66648384E-5</v>
          </cell>
          <cell r="BB140">
            <v>9.66648384E-5</v>
          </cell>
          <cell r="BC140" t="str">
            <v>-</v>
          </cell>
          <cell r="BD140" t="str">
            <v>-</v>
          </cell>
          <cell r="BE140" t="str">
            <v>-</v>
          </cell>
          <cell r="BF140" t="str">
            <v>-</v>
          </cell>
          <cell r="BG140" t="str">
            <v>-</v>
          </cell>
          <cell r="BH140" t="str">
            <v>-</v>
          </cell>
          <cell r="BI140" t="str">
            <v>-</v>
          </cell>
          <cell r="BJ140" t="str">
            <v>-</v>
          </cell>
          <cell r="BK140" t="str">
            <v>-</v>
          </cell>
          <cell r="BL140" t="str">
            <v>-</v>
          </cell>
          <cell r="BM140" t="str">
            <v>-</v>
          </cell>
          <cell r="BN140" t="str">
            <v>-</v>
          </cell>
          <cell r="BO140" t="str">
            <v>-</v>
          </cell>
          <cell r="BP140">
            <v>6.3798793344000006E-5</v>
          </cell>
          <cell r="BQ140">
            <v>6.3798793344000006E-5</v>
          </cell>
          <cell r="BR140">
            <v>6.3798793344000006E-5</v>
          </cell>
          <cell r="BS140">
            <v>6.3798793344000006E-5</v>
          </cell>
          <cell r="BT140">
            <v>6.3798793344000006E-5</v>
          </cell>
          <cell r="BU140">
            <v>6.3798793344000006E-5</v>
          </cell>
          <cell r="BV140">
            <v>6.3798793344000006E-5</v>
          </cell>
          <cell r="BW140">
            <v>6.3798793344000006E-5</v>
          </cell>
          <cell r="BX140">
            <v>6.3798793344000006E-5</v>
          </cell>
          <cell r="BY140">
            <v>6.3798793344000006E-5</v>
          </cell>
        </row>
        <row r="141">
          <cell r="H141" t="str">
            <v>Motocicletas a gasolina</v>
          </cell>
          <cell r="I141">
            <v>2.2690000000000001</v>
          </cell>
          <cell r="J141">
            <v>2.2690000000000001</v>
          </cell>
          <cell r="K141">
            <v>2.2690000000000001</v>
          </cell>
          <cell r="L141">
            <v>2.2690000000000001</v>
          </cell>
          <cell r="M141">
            <v>2.2690000000000001</v>
          </cell>
          <cell r="N141">
            <v>2.2690000000000001</v>
          </cell>
          <cell r="O141">
            <v>2.2690000000000001</v>
          </cell>
          <cell r="P141">
            <v>2.2690000000000001</v>
          </cell>
          <cell r="Q141">
            <v>2.2690000000000001</v>
          </cell>
          <cell r="R141">
            <v>2.2690000000000001</v>
          </cell>
          <cell r="S141">
            <v>2.2690000000000001</v>
          </cell>
          <cell r="T141">
            <v>2.2690000000000001</v>
          </cell>
          <cell r="U141">
            <v>2.2690000000000001</v>
          </cell>
          <cell r="V141">
            <v>2.2690000000000001</v>
          </cell>
          <cell r="W141">
            <v>2.2690000000000001</v>
          </cell>
          <cell r="X141">
            <v>2.2690000000000001</v>
          </cell>
          <cell r="Y141">
            <v>2.2690000000000001</v>
          </cell>
          <cell r="Z141">
            <v>2.2690000000000001</v>
          </cell>
          <cell r="AA141">
            <v>2.2690000000000001</v>
          </cell>
          <cell r="AB141">
            <v>2.2690000000000001</v>
          </cell>
          <cell r="AC141">
            <v>2.2690000000000001</v>
          </cell>
          <cell r="AD141">
            <v>2.2690000000000001</v>
          </cell>
          <cell r="AE141">
            <v>2.2690000000000001</v>
          </cell>
          <cell r="AF141">
            <v>1.5600000000000001E-2</v>
          </cell>
          <cell r="AG141">
            <v>1.5600000000000001E-2</v>
          </cell>
          <cell r="AH141">
            <v>1.5600000000000001E-2</v>
          </cell>
          <cell r="AI141">
            <v>1.5600000000000001E-2</v>
          </cell>
          <cell r="AJ141">
            <v>1.5600000000000001E-2</v>
          </cell>
          <cell r="AK141">
            <v>1.5600000000000001E-2</v>
          </cell>
          <cell r="AL141">
            <v>1.5600000000000001E-2</v>
          </cell>
          <cell r="AM141">
            <v>1.5600000000000001E-2</v>
          </cell>
          <cell r="AN141">
            <v>1.5600000000000001E-2</v>
          </cell>
          <cell r="AO141">
            <v>1.5600000000000001E-2</v>
          </cell>
          <cell r="AP141">
            <v>1.5600000000000001E-2</v>
          </cell>
          <cell r="AQ141">
            <v>1.5600000000000001E-2</v>
          </cell>
          <cell r="AR141">
            <v>1.5600000000000001E-2</v>
          </cell>
          <cell r="AS141">
            <v>5.1999999999999998E-3</v>
          </cell>
          <cell r="AT141">
            <v>4.7999999999999996E-3</v>
          </cell>
          <cell r="AU141">
            <v>3.5999999999999995E-3</v>
          </cell>
          <cell r="AV141">
            <v>2E-3</v>
          </cell>
          <cell r="AW141">
            <v>2E-3</v>
          </cell>
          <cell r="AX141">
            <v>1.1999999999999999E-3</v>
          </cell>
          <cell r="AY141">
            <v>1.1999999999999999E-3</v>
          </cell>
          <cell r="AZ141">
            <v>1.1999999999999999E-3</v>
          </cell>
          <cell r="BA141">
            <v>1.1999999999999999E-3</v>
          </cell>
          <cell r="BB141">
            <v>1.1999999999999999E-3</v>
          </cell>
          <cell r="BC141" t="str">
            <v>-</v>
          </cell>
          <cell r="BD141" t="str">
            <v>-</v>
          </cell>
          <cell r="BE141" t="str">
            <v>-</v>
          </cell>
          <cell r="BF141" t="str">
            <v>-</v>
          </cell>
          <cell r="BG141" t="str">
            <v>-</v>
          </cell>
          <cell r="BH141" t="str">
            <v>-</v>
          </cell>
          <cell r="BI141" t="str">
            <v>-</v>
          </cell>
          <cell r="BJ141" t="str">
            <v>-</v>
          </cell>
          <cell r="BK141" t="str">
            <v>-</v>
          </cell>
          <cell r="BL141" t="str">
            <v>-</v>
          </cell>
          <cell r="BM141" t="str">
            <v>-</v>
          </cell>
          <cell r="BN141" t="str">
            <v>-</v>
          </cell>
          <cell r="BO141" t="str">
            <v>-</v>
          </cell>
          <cell r="BP141" t="str">
            <v>-</v>
          </cell>
          <cell r="BQ141" t="str">
            <v>-</v>
          </cell>
          <cell r="BR141" t="str">
            <v>-</v>
          </cell>
          <cell r="BS141" t="str">
            <v>-</v>
          </cell>
          <cell r="BT141" t="str">
            <v>-</v>
          </cell>
          <cell r="BU141" t="str">
            <v>-</v>
          </cell>
          <cell r="BV141" t="str">
            <v>-</v>
          </cell>
          <cell r="BW141" t="str">
            <v>-</v>
          </cell>
          <cell r="BX141" t="str">
            <v>-</v>
          </cell>
          <cell r="BY141" t="str">
            <v>-</v>
          </cell>
        </row>
        <row r="142">
          <cell r="H142" t="str">
            <v>Motocicletas flex a gasolina</v>
          </cell>
          <cell r="I142" t="str">
            <v>-</v>
          </cell>
          <cell r="J142" t="str">
            <v>-</v>
          </cell>
          <cell r="K142" t="str">
            <v>-</v>
          </cell>
          <cell r="L142" t="str">
            <v>-</v>
          </cell>
          <cell r="M142" t="str">
            <v>-</v>
          </cell>
          <cell r="N142" t="str">
            <v>-</v>
          </cell>
          <cell r="O142" t="str">
            <v>-</v>
          </cell>
          <cell r="P142" t="str">
            <v>-</v>
          </cell>
          <cell r="Q142" t="str">
            <v>-</v>
          </cell>
          <cell r="R142" t="str">
            <v>-</v>
          </cell>
          <cell r="S142" t="str">
            <v>-</v>
          </cell>
          <cell r="T142" t="str">
            <v>-</v>
          </cell>
          <cell r="U142" t="str">
            <v>-</v>
          </cell>
          <cell r="V142" t="str">
            <v>-</v>
          </cell>
          <cell r="W142" t="str">
            <v>-</v>
          </cell>
          <cell r="X142" t="str">
            <v>-</v>
          </cell>
          <cell r="Y142" t="str">
            <v>-</v>
          </cell>
          <cell r="Z142">
            <v>2.2690000000000001</v>
          </cell>
          <cell r="AA142">
            <v>2.2690000000000001</v>
          </cell>
          <cell r="AB142">
            <v>2.2690000000000001</v>
          </cell>
          <cell r="AC142">
            <v>2.2690000000000001</v>
          </cell>
          <cell r="AD142">
            <v>2.2690000000000001</v>
          </cell>
          <cell r="AE142">
            <v>2.2690000000000001</v>
          </cell>
          <cell r="AF142" t="str">
            <v>-</v>
          </cell>
          <cell r="AG142" t="str">
            <v>-</v>
          </cell>
          <cell r="AH142" t="str">
            <v>-</v>
          </cell>
          <cell r="AI142" t="str">
            <v>-</v>
          </cell>
          <cell r="AJ142" t="str">
            <v>-</v>
          </cell>
          <cell r="AK142" t="str">
            <v>-</v>
          </cell>
          <cell r="AL142" t="str">
            <v>-</v>
          </cell>
          <cell r="AM142" t="str">
            <v>-</v>
          </cell>
          <cell r="AN142" t="str">
            <v>-</v>
          </cell>
          <cell r="AO142" t="str">
            <v>-</v>
          </cell>
          <cell r="AP142" t="str">
            <v>-</v>
          </cell>
          <cell r="AQ142" t="str">
            <v>-</v>
          </cell>
          <cell r="AR142" t="str">
            <v>-</v>
          </cell>
          <cell r="AS142" t="str">
            <v>-</v>
          </cell>
          <cell r="AT142" t="str">
            <v>-</v>
          </cell>
          <cell r="AU142" t="str">
            <v>-</v>
          </cell>
          <cell r="AV142" t="str">
            <v>-</v>
          </cell>
          <cell r="AW142">
            <v>2E-3</v>
          </cell>
          <cell r="AX142">
            <v>1.1999999999999999E-3</v>
          </cell>
          <cell r="AY142">
            <v>1.1999999999999999E-3</v>
          </cell>
          <cell r="AZ142">
            <v>1.1999999999999999E-3</v>
          </cell>
          <cell r="BA142">
            <v>1.1999999999999999E-3</v>
          </cell>
          <cell r="BB142">
            <v>1.1999999999999999E-3</v>
          </cell>
          <cell r="BC142" t="str">
            <v>-</v>
          </cell>
          <cell r="BD142" t="str">
            <v>-</v>
          </cell>
          <cell r="BE142" t="str">
            <v>-</v>
          </cell>
          <cell r="BF142" t="str">
            <v>-</v>
          </cell>
          <cell r="BG142" t="str">
            <v>-</v>
          </cell>
          <cell r="BH142" t="str">
            <v>-</v>
          </cell>
          <cell r="BI142" t="str">
            <v>-</v>
          </cell>
          <cell r="BJ142" t="str">
            <v>-</v>
          </cell>
          <cell r="BK142" t="str">
            <v>-</v>
          </cell>
          <cell r="BL142" t="str">
            <v>-</v>
          </cell>
          <cell r="BM142" t="str">
            <v>-</v>
          </cell>
          <cell r="BN142" t="str">
            <v>-</v>
          </cell>
          <cell r="BO142" t="str">
            <v>-</v>
          </cell>
          <cell r="BP142" t="str">
            <v>-</v>
          </cell>
          <cell r="BQ142" t="str">
            <v>-</v>
          </cell>
          <cell r="BR142" t="str">
            <v>-</v>
          </cell>
          <cell r="BS142" t="str">
            <v>-</v>
          </cell>
          <cell r="BT142" t="str">
            <v>-</v>
          </cell>
          <cell r="BU142" t="str">
            <v>-</v>
          </cell>
          <cell r="BV142" t="str">
            <v>-</v>
          </cell>
          <cell r="BW142" t="str">
            <v>-</v>
          </cell>
          <cell r="BX142" t="str">
            <v>-</v>
          </cell>
          <cell r="BY142" t="str">
            <v>-</v>
          </cell>
        </row>
        <row r="143">
          <cell r="H143" t="str">
            <v>Veículo comercial leve a gasolina</v>
          </cell>
          <cell r="I143">
            <v>2.2690000000000001</v>
          </cell>
          <cell r="J143">
            <v>2.2690000000000001</v>
          </cell>
          <cell r="K143">
            <v>2.2690000000000001</v>
          </cell>
          <cell r="L143">
            <v>2.2690000000000001</v>
          </cell>
          <cell r="M143">
            <v>2.2690000000000001</v>
          </cell>
          <cell r="N143">
            <v>2.2690000000000001</v>
          </cell>
          <cell r="O143">
            <v>2.2690000000000001</v>
          </cell>
          <cell r="P143">
            <v>2.2690000000000001</v>
          </cell>
          <cell r="Q143">
            <v>2.2690000000000001</v>
          </cell>
          <cell r="R143">
            <v>2.2690000000000001</v>
          </cell>
          <cell r="S143">
            <v>2.2690000000000001</v>
          </cell>
          <cell r="T143">
            <v>2.2690000000000001</v>
          </cell>
          <cell r="U143">
            <v>2.2690000000000001</v>
          </cell>
          <cell r="V143">
            <v>2.2690000000000001</v>
          </cell>
          <cell r="W143">
            <v>2.2690000000000001</v>
          </cell>
          <cell r="X143">
            <v>2.2690000000000001</v>
          </cell>
          <cell r="Y143">
            <v>2.2690000000000001</v>
          </cell>
          <cell r="Z143">
            <v>2.2690000000000001</v>
          </cell>
          <cell r="AA143">
            <v>2.2690000000000001</v>
          </cell>
          <cell r="AB143">
            <v>2.2690000000000001</v>
          </cell>
          <cell r="AC143">
            <v>2.2690000000000001</v>
          </cell>
          <cell r="AD143">
            <v>2.2690000000000001</v>
          </cell>
          <cell r="AE143">
            <v>2.2690000000000001</v>
          </cell>
          <cell r="AF143">
            <v>2.9321667648000001E-4</v>
          </cell>
          <cell r="AG143">
            <v>2.9321667648000001E-4</v>
          </cell>
          <cell r="AH143">
            <v>2.8355019264000007E-4</v>
          </cell>
          <cell r="AI143">
            <v>2.7066154752000004E-4</v>
          </cell>
          <cell r="AJ143">
            <v>2.5132857984000006E-4</v>
          </cell>
          <cell r="AK143">
            <v>2.3199561216E-4</v>
          </cell>
          <cell r="AL143">
            <v>2.0621832192000003E-4</v>
          </cell>
          <cell r="AM143">
            <v>1.8044103167999998E-4</v>
          </cell>
          <cell r="AN143">
            <v>1.5788590272000001E-4</v>
          </cell>
          <cell r="AO143">
            <v>1.4177509632000003E-4</v>
          </cell>
          <cell r="AP143">
            <v>1.2888645120000001E-4</v>
          </cell>
          <cell r="AQ143">
            <v>1.1921996736000002E-4</v>
          </cell>
          <cell r="AR143">
            <v>1.0955348352000001E-4</v>
          </cell>
          <cell r="AS143">
            <v>1.0310916096000001E-4</v>
          </cell>
          <cell r="AT143">
            <v>9.3442677120000007E-5</v>
          </cell>
          <cell r="AU143">
            <v>8.6998354560000008E-5</v>
          </cell>
          <cell r="AV143">
            <v>8.6998354560000008E-5</v>
          </cell>
          <cell r="AW143">
            <v>8.6998354560000008E-5</v>
          </cell>
          <cell r="AX143">
            <v>8.6998354560000008E-5</v>
          </cell>
          <cell r="AY143">
            <v>8.6998354560000008E-5</v>
          </cell>
          <cell r="AZ143">
            <v>8.6998354560000008E-5</v>
          </cell>
          <cell r="BA143">
            <v>8.6998354560000008E-5</v>
          </cell>
          <cell r="BB143">
            <v>8.6998354560000008E-5</v>
          </cell>
          <cell r="BC143">
            <v>6.3798793344000006E-5</v>
          </cell>
          <cell r="BD143">
            <v>6.3798793344000006E-5</v>
          </cell>
          <cell r="BE143">
            <v>6.3798793344000006E-5</v>
          </cell>
          <cell r="BF143">
            <v>6.3798793344000006E-5</v>
          </cell>
          <cell r="BG143">
            <v>6.3798793344000006E-5</v>
          </cell>
          <cell r="BH143">
            <v>6.3798793344000006E-5</v>
          </cell>
          <cell r="BI143">
            <v>6.3798793344000006E-5</v>
          </cell>
          <cell r="BJ143">
            <v>6.3798793344000006E-5</v>
          </cell>
          <cell r="BK143">
            <v>6.3798793344000006E-5</v>
          </cell>
          <cell r="BL143">
            <v>6.3798793344000006E-5</v>
          </cell>
          <cell r="BM143">
            <v>6.3798793344000006E-5</v>
          </cell>
          <cell r="BN143">
            <v>6.3798793344000006E-5</v>
          </cell>
          <cell r="BO143">
            <v>6.3798793344000006E-5</v>
          </cell>
          <cell r="BP143">
            <v>6.3798793344000006E-5</v>
          </cell>
          <cell r="BQ143">
            <v>6.3798793344000006E-5</v>
          </cell>
          <cell r="BR143">
            <v>6.3798793344000006E-5</v>
          </cell>
          <cell r="BS143">
            <v>6.3798793344000006E-5</v>
          </cell>
          <cell r="BT143">
            <v>6.3798793344000006E-5</v>
          </cell>
          <cell r="BU143">
            <v>6.3798793344000006E-5</v>
          </cell>
          <cell r="BV143">
            <v>6.3798793344000006E-5</v>
          </cell>
          <cell r="BW143">
            <v>6.3798793344000006E-5</v>
          </cell>
          <cell r="BX143">
            <v>6.3798793344000006E-5</v>
          </cell>
          <cell r="BY143">
            <v>6.3798793344000006E-5</v>
          </cell>
        </row>
        <row r="144">
          <cell r="H144" t="str">
            <v>Ônibus rodoviário a gasolina</v>
          </cell>
          <cell r="I144">
            <v>2.2690000000000001</v>
          </cell>
          <cell r="J144">
            <v>2.2690000000000001</v>
          </cell>
          <cell r="K144">
            <v>2.2690000000000001</v>
          </cell>
          <cell r="L144">
            <v>2.2690000000000001</v>
          </cell>
          <cell r="M144">
            <v>2.2690000000000001</v>
          </cell>
          <cell r="N144">
            <v>2.2690000000000001</v>
          </cell>
          <cell r="O144">
            <v>2.2690000000000001</v>
          </cell>
          <cell r="P144">
            <v>2.2690000000000001</v>
          </cell>
          <cell r="Q144">
            <v>2.2690000000000001</v>
          </cell>
          <cell r="R144">
            <v>2.2690000000000001</v>
          </cell>
          <cell r="S144">
            <v>2.2690000000000001</v>
          </cell>
          <cell r="T144">
            <v>2.2690000000000001</v>
          </cell>
          <cell r="U144">
            <v>2.2690000000000001</v>
          </cell>
          <cell r="V144">
            <v>2.2690000000000001</v>
          </cell>
          <cell r="W144">
            <v>2.2690000000000001</v>
          </cell>
          <cell r="X144">
            <v>2.2690000000000001</v>
          </cell>
          <cell r="Y144">
            <v>2.2690000000000001</v>
          </cell>
          <cell r="Z144">
            <v>2.2690000000000001</v>
          </cell>
          <cell r="AA144">
            <v>2.2690000000000001</v>
          </cell>
          <cell r="AB144">
            <v>2.2690000000000001</v>
          </cell>
          <cell r="AC144">
            <v>2.2690000000000001</v>
          </cell>
          <cell r="AD144">
            <v>2.2690000000000001</v>
          </cell>
          <cell r="AE144">
            <v>2.2690000000000001</v>
          </cell>
          <cell r="AF144">
            <v>2.9321667648000001E-4</v>
          </cell>
          <cell r="AG144">
            <v>2.9321667648000001E-4</v>
          </cell>
          <cell r="AH144">
            <v>2.9321667648000001E-4</v>
          </cell>
          <cell r="AI144">
            <v>2.9321667648000001E-4</v>
          </cell>
          <cell r="AJ144">
            <v>2.9321667648000001E-4</v>
          </cell>
          <cell r="AK144">
            <v>2.9321667648000001E-4</v>
          </cell>
          <cell r="AL144">
            <v>2.9321667648000001E-4</v>
          </cell>
          <cell r="AM144">
            <v>2.9321667648000001E-4</v>
          </cell>
          <cell r="AN144">
            <v>2.9321667648000001E-4</v>
          </cell>
          <cell r="AO144">
            <v>2.9321667648000001E-4</v>
          </cell>
          <cell r="AP144">
            <v>2.9321667648000001E-4</v>
          </cell>
          <cell r="AQ144">
            <v>2.9321667648000001E-4</v>
          </cell>
          <cell r="AR144">
            <v>2.9321667648000001E-4</v>
          </cell>
          <cell r="AS144">
            <v>2.9321667648000001E-4</v>
          </cell>
          <cell r="AT144">
            <v>2.9321667648000001E-4</v>
          </cell>
          <cell r="AU144">
            <v>2.9321667648000001E-4</v>
          </cell>
          <cell r="AV144">
            <v>2.9321667648000001E-4</v>
          </cell>
          <cell r="AW144">
            <v>2.9321667648000001E-4</v>
          </cell>
          <cell r="AX144">
            <v>2.9321667648000001E-4</v>
          </cell>
          <cell r="AY144">
            <v>2.9321667648000001E-4</v>
          </cell>
          <cell r="AZ144">
            <v>2.9321667648000001E-4</v>
          </cell>
          <cell r="BA144">
            <v>2.9321667648000001E-4</v>
          </cell>
          <cell r="BB144">
            <v>2.9321667648000001E-4</v>
          </cell>
          <cell r="BC144">
            <v>6.3798793344000006E-5</v>
          </cell>
          <cell r="BD144">
            <v>6.3798793344000006E-5</v>
          </cell>
          <cell r="BE144">
            <v>6.3798793344000006E-5</v>
          </cell>
          <cell r="BF144">
            <v>6.3798793344000006E-5</v>
          </cell>
          <cell r="BG144">
            <v>6.3798793344000006E-5</v>
          </cell>
          <cell r="BH144">
            <v>6.3798793344000006E-5</v>
          </cell>
          <cell r="BI144">
            <v>6.3798793344000006E-5</v>
          </cell>
          <cell r="BJ144">
            <v>6.3798793344000006E-5</v>
          </cell>
          <cell r="BK144">
            <v>6.3798793344000006E-5</v>
          </cell>
          <cell r="BL144">
            <v>6.3798793344000006E-5</v>
          </cell>
          <cell r="BM144">
            <v>6.3798793344000006E-5</v>
          </cell>
          <cell r="BN144">
            <v>6.3798793344000006E-5</v>
          </cell>
          <cell r="BO144">
            <v>6.3798793344000006E-5</v>
          </cell>
          <cell r="BP144">
            <v>6.3798793344000006E-5</v>
          </cell>
          <cell r="BQ144">
            <v>6.3798793344000006E-5</v>
          </cell>
          <cell r="BR144">
            <v>6.3798793344000006E-5</v>
          </cell>
          <cell r="BS144">
            <v>6.3798793344000006E-5</v>
          </cell>
          <cell r="BT144">
            <v>6.3798793344000006E-5</v>
          </cell>
          <cell r="BU144">
            <v>6.3798793344000006E-5</v>
          </cell>
          <cell r="BV144">
            <v>6.3798793344000006E-5</v>
          </cell>
          <cell r="BW144">
            <v>6.3798793344000006E-5</v>
          </cell>
          <cell r="BX144">
            <v>6.3798793344000006E-5</v>
          </cell>
          <cell r="BY144">
            <v>6.3798793344000006E-5</v>
          </cell>
        </row>
        <row r="145">
          <cell r="H145" t="str">
            <v>Ônibus urbano a gasolina</v>
          </cell>
          <cell r="I145">
            <v>2.2690000000000001</v>
          </cell>
          <cell r="J145">
            <v>2.2690000000000001</v>
          </cell>
          <cell r="K145">
            <v>2.2690000000000001</v>
          </cell>
          <cell r="L145">
            <v>2.2690000000000001</v>
          </cell>
          <cell r="M145">
            <v>2.2690000000000001</v>
          </cell>
          <cell r="N145">
            <v>2.2690000000000001</v>
          </cell>
          <cell r="O145">
            <v>2.2690000000000001</v>
          </cell>
          <cell r="P145">
            <v>2.2690000000000001</v>
          </cell>
          <cell r="Q145">
            <v>2.2690000000000001</v>
          </cell>
          <cell r="R145">
            <v>2.2690000000000001</v>
          </cell>
          <cell r="S145">
            <v>2.2690000000000001</v>
          </cell>
          <cell r="T145">
            <v>2.2690000000000001</v>
          </cell>
          <cell r="U145">
            <v>2.2690000000000001</v>
          </cell>
          <cell r="V145">
            <v>2.2690000000000001</v>
          </cell>
          <cell r="W145">
            <v>2.2690000000000001</v>
          </cell>
          <cell r="X145">
            <v>2.2690000000000001</v>
          </cell>
          <cell r="Y145">
            <v>2.2690000000000001</v>
          </cell>
          <cell r="Z145">
            <v>2.2690000000000001</v>
          </cell>
          <cell r="AA145">
            <v>2.2690000000000001</v>
          </cell>
          <cell r="AB145">
            <v>2.2690000000000001</v>
          </cell>
          <cell r="AC145">
            <v>2.2690000000000001</v>
          </cell>
          <cell r="AD145">
            <v>2.2690000000000001</v>
          </cell>
          <cell r="AE145">
            <v>2.2690000000000001</v>
          </cell>
          <cell r="AF145">
            <v>2.9321667648000001E-4</v>
          </cell>
          <cell r="AG145">
            <v>2.9321667648000001E-4</v>
          </cell>
          <cell r="AH145">
            <v>2.9321667648000001E-4</v>
          </cell>
          <cell r="AI145">
            <v>2.9321667648000001E-4</v>
          </cell>
          <cell r="AJ145">
            <v>2.9321667648000001E-4</v>
          </cell>
          <cell r="AK145">
            <v>2.9321667648000001E-4</v>
          </cell>
          <cell r="AL145">
            <v>2.9321667648000001E-4</v>
          </cell>
          <cell r="AM145">
            <v>2.9321667648000001E-4</v>
          </cell>
          <cell r="AN145">
            <v>2.9321667648000001E-4</v>
          </cell>
          <cell r="AO145">
            <v>2.9321667648000001E-4</v>
          </cell>
          <cell r="AP145">
            <v>2.9321667648000001E-4</v>
          </cell>
          <cell r="AQ145">
            <v>2.9321667648000001E-4</v>
          </cell>
          <cell r="AR145">
            <v>2.9321667648000001E-4</v>
          </cell>
          <cell r="AS145">
            <v>2.9321667648000001E-4</v>
          </cell>
          <cell r="AT145">
            <v>2.9321667648000001E-4</v>
          </cell>
          <cell r="AU145">
            <v>2.9321667648000001E-4</v>
          </cell>
          <cell r="AV145">
            <v>2.9321667648000001E-4</v>
          </cell>
          <cell r="AW145">
            <v>2.9321667648000001E-4</v>
          </cell>
          <cell r="AX145">
            <v>2.9321667648000001E-4</v>
          </cell>
          <cell r="AY145">
            <v>2.9321667648000001E-4</v>
          </cell>
          <cell r="AZ145">
            <v>2.9321667648000001E-4</v>
          </cell>
          <cell r="BA145">
            <v>2.9321667648000001E-4</v>
          </cell>
          <cell r="BB145">
            <v>2.9321667648000001E-4</v>
          </cell>
          <cell r="BC145">
            <v>6.3798793344000006E-5</v>
          </cell>
          <cell r="BD145">
            <v>6.3798793344000006E-5</v>
          </cell>
          <cell r="BE145">
            <v>6.3798793344000006E-5</v>
          </cell>
          <cell r="BF145">
            <v>6.3798793344000006E-5</v>
          </cell>
          <cell r="BG145">
            <v>6.3798793344000006E-5</v>
          </cell>
          <cell r="BH145">
            <v>6.3798793344000006E-5</v>
          </cell>
          <cell r="BI145">
            <v>6.3798793344000006E-5</v>
          </cell>
          <cell r="BJ145">
            <v>6.3798793344000006E-5</v>
          </cell>
          <cell r="BK145">
            <v>6.3798793344000006E-5</v>
          </cell>
          <cell r="BL145">
            <v>6.3798793344000006E-5</v>
          </cell>
          <cell r="BM145">
            <v>6.3798793344000006E-5</v>
          </cell>
          <cell r="BN145">
            <v>6.3798793344000006E-5</v>
          </cell>
          <cell r="BO145">
            <v>6.3798793344000006E-5</v>
          </cell>
          <cell r="BP145">
            <v>6.3798793344000006E-5</v>
          </cell>
          <cell r="BQ145">
            <v>6.3798793344000006E-5</v>
          </cell>
          <cell r="BR145">
            <v>6.3798793344000006E-5</v>
          </cell>
          <cell r="BS145">
            <v>6.3798793344000006E-5</v>
          </cell>
          <cell r="BT145">
            <v>6.3798793344000006E-5</v>
          </cell>
          <cell r="BU145">
            <v>6.3798793344000006E-5</v>
          </cell>
          <cell r="BV145">
            <v>6.3798793344000006E-5</v>
          </cell>
          <cell r="BW145">
            <v>6.3798793344000006E-5</v>
          </cell>
          <cell r="BX145">
            <v>6.3798793344000006E-5</v>
          </cell>
          <cell r="BY145">
            <v>6.3798793344000006E-5</v>
          </cell>
        </row>
        <row r="146">
          <cell r="H146" t="str">
            <v>Caminhão leve a gasolina</v>
          </cell>
          <cell r="I146">
            <v>2.2690000000000001</v>
          </cell>
          <cell r="J146">
            <v>2.2690000000000001</v>
          </cell>
          <cell r="K146">
            <v>2.2690000000000001</v>
          </cell>
          <cell r="L146">
            <v>2.2690000000000001</v>
          </cell>
          <cell r="M146">
            <v>2.2690000000000001</v>
          </cell>
          <cell r="N146">
            <v>2.2690000000000001</v>
          </cell>
          <cell r="O146">
            <v>2.2690000000000001</v>
          </cell>
          <cell r="P146">
            <v>2.2690000000000001</v>
          </cell>
          <cell r="Q146">
            <v>2.2690000000000001</v>
          </cell>
          <cell r="R146">
            <v>2.2690000000000001</v>
          </cell>
          <cell r="S146">
            <v>2.2690000000000001</v>
          </cell>
          <cell r="T146">
            <v>2.2690000000000001</v>
          </cell>
          <cell r="U146">
            <v>2.2690000000000001</v>
          </cell>
          <cell r="V146">
            <v>2.2690000000000001</v>
          </cell>
          <cell r="W146">
            <v>2.2690000000000001</v>
          </cell>
          <cell r="X146">
            <v>2.2690000000000001</v>
          </cell>
          <cell r="Y146">
            <v>2.2690000000000001</v>
          </cell>
          <cell r="Z146">
            <v>2.2690000000000001</v>
          </cell>
          <cell r="AA146">
            <v>2.2690000000000001</v>
          </cell>
          <cell r="AB146">
            <v>2.2690000000000001</v>
          </cell>
          <cell r="AC146">
            <v>2.2690000000000001</v>
          </cell>
          <cell r="AD146">
            <v>2.2690000000000001</v>
          </cell>
          <cell r="AE146">
            <v>2.2690000000000001</v>
          </cell>
          <cell r="AF146">
            <v>2.9321667648000001E-4</v>
          </cell>
          <cell r="AG146">
            <v>2.9321667648000001E-4</v>
          </cell>
          <cell r="AH146">
            <v>2.9321667648000001E-4</v>
          </cell>
          <cell r="AI146">
            <v>2.9321667648000001E-4</v>
          </cell>
          <cell r="AJ146">
            <v>2.9321667648000001E-4</v>
          </cell>
          <cell r="AK146">
            <v>2.9321667648000001E-4</v>
          </cell>
          <cell r="AL146">
            <v>2.9321667648000001E-4</v>
          </cell>
          <cell r="AM146">
            <v>2.9321667648000001E-4</v>
          </cell>
          <cell r="AN146">
            <v>2.9321667648000001E-4</v>
          </cell>
          <cell r="AO146">
            <v>2.9321667648000001E-4</v>
          </cell>
          <cell r="AP146">
            <v>2.9321667648000001E-4</v>
          </cell>
          <cell r="AQ146">
            <v>2.9321667648000001E-4</v>
          </cell>
          <cell r="AR146">
            <v>2.9321667648000001E-4</v>
          </cell>
          <cell r="AS146">
            <v>2.9321667648000001E-4</v>
          </cell>
          <cell r="AT146">
            <v>2.9321667648000001E-4</v>
          </cell>
          <cell r="AU146">
            <v>2.9321667648000001E-4</v>
          </cell>
          <cell r="AV146">
            <v>2.9321667648000001E-4</v>
          </cell>
          <cell r="AW146">
            <v>2.9321667648000001E-4</v>
          </cell>
          <cell r="AX146">
            <v>2.9321667648000001E-4</v>
          </cell>
          <cell r="AY146">
            <v>2.9321667648000001E-4</v>
          </cell>
          <cell r="AZ146">
            <v>2.9321667648000001E-4</v>
          </cell>
          <cell r="BA146">
            <v>2.9321667648000001E-4</v>
          </cell>
          <cell r="BB146">
            <v>2.9321667648000001E-4</v>
          </cell>
          <cell r="BC146">
            <v>6.3798793344000006E-5</v>
          </cell>
          <cell r="BD146">
            <v>6.3798793344000006E-5</v>
          </cell>
          <cell r="BE146">
            <v>6.3798793344000006E-5</v>
          </cell>
          <cell r="BF146">
            <v>6.3798793344000006E-5</v>
          </cell>
          <cell r="BG146">
            <v>6.3798793344000006E-5</v>
          </cell>
          <cell r="BH146">
            <v>6.3798793344000006E-5</v>
          </cell>
          <cell r="BI146">
            <v>6.3798793344000006E-5</v>
          </cell>
          <cell r="BJ146">
            <v>6.3798793344000006E-5</v>
          </cell>
          <cell r="BK146">
            <v>6.3798793344000006E-5</v>
          </cell>
          <cell r="BL146">
            <v>6.3798793344000006E-5</v>
          </cell>
          <cell r="BM146">
            <v>6.3798793344000006E-5</v>
          </cell>
          <cell r="BN146">
            <v>6.3798793344000006E-5</v>
          </cell>
          <cell r="BO146">
            <v>6.3798793344000006E-5</v>
          </cell>
          <cell r="BP146">
            <v>6.3798793344000006E-5</v>
          </cell>
          <cell r="BQ146">
            <v>6.3798793344000006E-5</v>
          </cell>
          <cell r="BR146">
            <v>6.3798793344000006E-5</v>
          </cell>
          <cell r="BS146">
            <v>6.3798793344000006E-5</v>
          </cell>
          <cell r="BT146">
            <v>6.3798793344000006E-5</v>
          </cell>
          <cell r="BU146">
            <v>6.3798793344000006E-5</v>
          </cell>
          <cell r="BV146">
            <v>6.3798793344000006E-5</v>
          </cell>
          <cell r="BW146">
            <v>6.3798793344000006E-5</v>
          </cell>
          <cell r="BX146">
            <v>6.3798793344000006E-5</v>
          </cell>
          <cell r="BY146">
            <v>6.3798793344000006E-5</v>
          </cell>
        </row>
        <row r="147">
          <cell r="H147" t="str">
            <v>Caminhão médio a gasolina</v>
          </cell>
          <cell r="I147">
            <v>2.2690000000000001</v>
          </cell>
          <cell r="J147">
            <v>2.2690000000000001</v>
          </cell>
          <cell r="K147">
            <v>2.2690000000000001</v>
          </cell>
          <cell r="L147">
            <v>2.2690000000000001</v>
          </cell>
          <cell r="M147">
            <v>2.2690000000000001</v>
          </cell>
          <cell r="N147">
            <v>2.2690000000000001</v>
          </cell>
          <cell r="O147">
            <v>2.2690000000000001</v>
          </cell>
          <cell r="P147">
            <v>2.2690000000000001</v>
          </cell>
          <cell r="Q147">
            <v>2.2690000000000001</v>
          </cell>
          <cell r="R147">
            <v>2.2690000000000001</v>
          </cell>
          <cell r="S147">
            <v>2.2690000000000001</v>
          </cell>
          <cell r="T147">
            <v>2.2690000000000001</v>
          </cell>
          <cell r="U147">
            <v>2.2690000000000001</v>
          </cell>
          <cell r="V147">
            <v>2.2690000000000001</v>
          </cell>
          <cell r="W147">
            <v>2.2690000000000001</v>
          </cell>
          <cell r="X147">
            <v>2.2690000000000001</v>
          </cell>
          <cell r="Y147">
            <v>2.2690000000000001</v>
          </cell>
          <cell r="Z147">
            <v>2.2690000000000001</v>
          </cell>
          <cell r="AA147">
            <v>2.2690000000000001</v>
          </cell>
          <cell r="AB147">
            <v>2.2690000000000001</v>
          </cell>
          <cell r="AC147">
            <v>2.2690000000000001</v>
          </cell>
          <cell r="AD147">
            <v>2.2690000000000001</v>
          </cell>
          <cell r="AE147">
            <v>2.2690000000000001</v>
          </cell>
          <cell r="AF147">
            <v>2.9321667648000001E-4</v>
          </cell>
          <cell r="AG147">
            <v>2.9321667648000001E-4</v>
          </cell>
          <cell r="AH147">
            <v>2.9321667648000001E-4</v>
          </cell>
          <cell r="AI147">
            <v>2.9321667648000001E-4</v>
          </cell>
          <cell r="AJ147">
            <v>2.9321667648000001E-4</v>
          </cell>
          <cell r="AK147">
            <v>2.9321667648000001E-4</v>
          </cell>
          <cell r="AL147">
            <v>2.9321667648000001E-4</v>
          </cell>
          <cell r="AM147">
            <v>2.9321667648000001E-4</v>
          </cell>
          <cell r="AN147">
            <v>2.9321667648000001E-4</v>
          </cell>
          <cell r="AO147">
            <v>2.9321667648000001E-4</v>
          </cell>
          <cell r="AP147">
            <v>2.9321667648000001E-4</v>
          </cell>
          <cell r="AQ147">
            <v>2.9321667648000001E-4</v>
          </cell>
          <cell r="AR147">
            <v>2.9321667648000001E-4</v>
          </cell>
          <cell r="AS147">
            <v>2.9321667648000001E-4</v>
          </cell>
          <cell r="AT147">
            <v>2.9321667648000001E-4</v>
          </cell>
          <cell r="AU147">
            <v>2.9321667648000001E-4</v>
          </cell>
          <cell r="AV147">
            <v>2.9321667648000001E-4</v>
          </cell>
          <cell r="AW147">
            <v>2.9321667648000001E-4</v>
          </cell>
          <cell r="AX147">
            <v>2.9321667648000001E-4</v>
          </cell>
          <cell r="AY147">
            <v>2.9321667648000001E-4</v>
          </cell>
          <cell r="AZ147">
            <v>2.9321667648000001E-4</v>
          </cell>
          <cell r="BA147">
            <v>2.9321667648000001E-4</v>
          </cell>
          <cell r="BB147">
            <v>2.9321667648000001E-4</v>
          </cell>
          <cell r="BC147">
            <v>6.3798793344000006E-5</v>
          </cell>
          <cell r="BD147">
            <v>6.3798793344000006E-5</v>
          </cell>
          <cell r="BE147">
            <v>6.3798793344000006E-5</v>
          </cell>
          <cell r="BF147">
            <v>6.3798793344000006E-5</v>
          </cell>
          <cell r="BG147">
            <v>6.3798793344000006E-5</v>
          </cell>
          <cell r="BH147">
            <v>6.3798793344000006E-5</v>
          </cell>
          <cell r="BI147">
            <v>6.3798793344000006E-5</v>
          </cell>
          <cell r="BJ147">
            <v>6.3798793344000006E-5</v>
          </cell>
          <cell r="BK147">
            <v>6.3798793344000006E-5</v>
          </cell>
          <cell r="BL147">
            <v>6.3798793344000006E-5</v>
          </cell>
          <cell r="BM147">
            <v>6.3798793344000006E-5</v>
          </cell>
          <cell r="BN147">
            <v>6.3798793344000006E-5</v>
          </cell>
          <cell r="BO147">
            <v>6.3798793344000006E-5</v>
          </cell>
          <cell r="BP147">
            <v>6.3798793344000006E-5</v>
          </cell>
          <cell r="BQ147">
            <v>6.3798793344000006E-5</v>
          </cell>
          <cell r="BR147">
            <v>6.3798793344000006E-5</v>
          </cell>
          <cell r="BS147">
            <v>6.3798793344000006E-5</v>
          </cell>
          <cell r="BT147">
            <v>6.3798793344000006E-5</v>
          </cell>
          <cell r="BU147">
            <v>6.3798793344000006E-5</v>
          </cell>
          <cell r="BV147">
            <v>6.3798793344000006E-5</v>
          </cell>
          <cell r="BW147">
            <v>6.3798793344000006E-5</v>
          </cell>
          <cell r="BX147">
            <v>6.3798793344000006E-5</v>
          </cell>
          <cell r="BY147">
            <v>6.3798793344000006E-5</v>
          </cell>
        </row>
        <row r="148">
          <cell r="H148" t="str">
            <v>Caminhão pesado a gasolina</v>
          </cell>
          <cell r="I148">
            <v>2.2690000000000001</v>
          </cell>
          <cell r="J148">
            <v>2.2690000000000001</v>
          </cell>
          <cell r="K148">
            <v>2.2690000000000001</v>
          </cell>
          <cell r="L148">
            <v>2.2690000000000001</v>
          </cell>
          <cell r="M148">
            <v>2.2690000000000001</v>
          </cell>
          <cell r="N148">
            <v>2.2690000000000001</v>
          </cell>
          <cell r="O148">
            <v>2.2690000000000001</v>
          </cell>
          <cell r="P148">
            <v>2.2690000000000001</v>
          </cell>
          <cell r="Q148">
            <v>2.2690000000000001</v>
          </cell>
          <cell r="R148">
            <v>2.2690000000000001</v>
          </cell>
          <cell r="S148">
            <v>2.2690000000000001</v>
          </cell>
          <cell r="T148">
            <v>2.2690000000000001</v>
          </cell>
          <cell r="U148">
            <v>2.2690000000000001</v>
          </cell>
          <cell r="V148">
            <v>2.2690000000000001</v>
          </cell>
          <cell r="W148">
            <v>2.2690000000000001</v>
          </cell>
          <cell r="X148">
            <v>2.2690000000000001</v>
          </cell>
          <cell r="Y148">
            <v>2.2690000000000001</v>
          </cell>
          <cell r="Z148">
            <v>2.2690000000000001</v>
          </cell>
          <cell r="AA148">
            <v>2.2690000000000001</v>
          </cell>
          <cell r="AB148">
            <v>2.2690000000000001</v>
          </cell>
          <cell r="AC148">
            <v>2.2690000000000001</v>
          </cell>
          <cell r="AD148">
            <v>2.2690000000000001</v>
          </cell>
          <cell r="AE148">
            <v>2.2690000000000001</v>
          </cell>
          <cell r="AF148">
            <v>2.9321667648000001E-4</v>
          </cell>
          <cell r="AG148">
            <v>2.9321667648000001E-4</v>
          </cell>
          <cell r="AH148">
            <v>2.9321667648000001E-4</v>
          </cell>
          <cell r="AI148">
            <v>2.9321667648000001E-4</v>
          </cell>
          <cell r="AJ148">
            <v>2.9321667648000001E-4</v>
          </cell>
          <cell r="AK148">
            <v>2.9321667648000001E-4</v>
          </cell>
          <cell r="AL148">
            <v>2.9321667648000001E-4</v>
          </cell>
          <cell r="AM148">
            <v>2.9321667648000001E-4</v>
          </cell>
          <cell r="AN148">
            <v>2.9321667648000001E-4</v>
          </cell>
          <cell r="AO148">
            <v>2.9321667648000001E-4</v>
          </cell>
          <cell r="AP148">
            <v>2.9321667648000001E-4</v>
          </cell>
          <cell r="AQ148">
            <v>2.9321667648000001E-4</v>
          </cell>
          <cell r="AR148">
            <v>2.9321667648000001E-4</v>
          </cell>
          <cell r="AS148">
            <v>2.9321667648000001E-4</v>
          </cell>
          <cell r="AT148">
            <v>2.9321667648000001E-4</v>
          </cell>
          <cell r="AU148">
            <v>2.9321667648000001E-4</v>
          </cell>
          <cell r="AV148">
            <v>2.9321667648000001E-4</v>
          </cell>
          <cell r="AW148">
            <v>2.9321667648000001E-4</v>
          </cell>
          <cell r="AX148">
            <v>2.9321667648000001E-4</v>
          </cell>
          <cell r="AY148">
            <v>2.9321667648000001E-4</v>
          </cell>
          <cell r="AZ148">
            <v>2.9321667648000001E-4</v>
          </cell>
          <cell r="BA148">
            <v>2.9321667648000001E-4</v>
          </cell>
          <cell r="BB148">
            <v>2.9321667648000001E-4</v>
          </cell>
          <cell r="BC148">
            <v>6.3798793344000006E-5</v>
          </cell>
          <cell r="BD148">
            <v>6.3798793344000006E-5</v>
          </cell>
          <cell r="BE148">
            <v>6.3798793344000006E-5</v>
          </cell>
          <cell r="BF148">
            <v>6.3798793344000006E-5</v>
          </cell>
          <cell r="BG148">
            <v>6.3798793344000006E-5</v>
          </cell>
          <cell r="BH148">
            <v>6.3798793344000006E-5</v>
          </cell>
          <cell r="BI148">
            <v>6.3798793344000006E-5</v>
          </cell>
          <cell r="BJ148">
            <v>6.3798793344000006E-5</v>
          </cell>
          <cell r="BK148">
            <v>6.3798793344000006E-5</v>
          </cell>
          <cell r="BL148">
            <v>6.3798793344000006E-5</v>
          </cell>
          <cell r="BM148">
            <v>6.3798793344000006E-5</v>
          </cell>
          <cell r="BN148">
            <v>6.3798793344000006E-5</v>
          </cell>
          <cell r="BO148">
            <v>6.3798793344000006E-5</v>
          </cell>
          <cell r="BP148">
            <v>6.3798793344000006E-5</v>
          </cell>
          <cell r="BQ148">
            <v>6.3798793344000006E-5</v>
          </cell>
          <cell r="BR148">
            <v>6.3798793344000006E-5</v>
          </cell>
          <cell r="BS148">
            <v>6.3798793344000006E-5</v>
          </cell>
          <cell r="BT148">
            <v>6.3798793344000006E-5</v>
          </cell>
          <cell r="BU148">
            <v>6.3798793344000006E-5</v>
          </cell>
          <cell r="BV148">
            <v>6.3798793344000006E-5</v>
          </cell>
          <cell r="BW148">
            <v>6.3798793344000006E-5</v>
          </cell>
          <cell r="BX148">
            <v>6.3798793344000006E-5</v>
          </cell>
          <cell r="BY148">
            <v>6.3798793344000006E-5</v>
          </cell>
        </row>
        <row r="149">
          <cell r="H149" t="str">
            <v>Veículo de passeio a Diesel</v>
          </cell>
          <cell r="I149">
            <v>2.6709999999999998</v>
          </cell>
          <cell r="J149">
            <v>2.6709999999999998</v>
          </cell>
          <cell r="K149">
            <v>2.6709999999999998</v>
          </cell>
          <cell r="L149">
            <v>2.6709999999999998</v>
          </cell>
          <cell r="M149">
            <v>2.6709999999999998</v>
          </cell>
          <cell r="N149">
            <v>2.6709999999999998</v>
          </cell>
          <cell r="O149">
            <v>2.6709999999999998</v>
          </cell>
          <cell r="P149">
            <v>2.6709999999999998</v>
          </cell>
          <cell r="Q149">
            <v>2.6709999999999998</v>
          </cell>
          <cell r="R149">
            <v>2.6709999999999998</v>
          </cell>
          <cell r="S149">
            <v>2.6709999999999998</v>
          </cell>
          <cell r="T149">
            <v>2.6709999999999998</v>
          </cell>
          <cell r="U149">
            <v>2.6709999999999998</v>
          </cell>
          <cell r="V149">
            <v>2.6709999999999998</v>
          </cell>
          <cell r="W149">
            <v>2.6709999999999998</v>
          </cell>
          <cell r="X149">
            <v>2.6709999999999998</v>
          </cell>
          <cell r="Y149">
            <v>2.6709999999999998</v>
          </cell>
          <cell r="Z149">
            <v>2.6709999999999998</v>
          </cell>
          <cell r="AA149">
            <v>2.6709999999999998</v>
          </cell>
          <cell r="AB149">
            <v>2.6709999999999998</v>
          </cell>
          <cell r="AC149">
            <v>2.6709999999999998</v>
          </cell>
          <cell r="AD149">
            <v>2.6709999999999998</v>
          </cell>
          <cell r="AE149">
            <v>2.6709999999999998</v>
          </cell>
          <cell r="AF149">
            <v>2.9127065184000005E-4</v>
          </cell>
          <cell r="AG149">
            <v>2.9127065184000005E-4</v>
          </cell>
          <cell r="AH149">
            <v>2.9127065184000005E-4</v>
          </cell>
          <cell r="AI149">
            <v>2.9127065184000005E-4</v>
          </cell>
          <cell r="AJ149">
            <v>2.9127065184000005E-4</v>
          </cell>
          <cell r="AK149">
            <v>2.9127065184000005E-4</v>
          </cell>
          <cell r="AL149">
            <v>2.9127065184000005E-4</v>
          </cell>
          <cell r="AM149">
            <v>2.9127065184000005E-4</v>
          </cell>
          <cell r="AN149">
            <v>2.9127065184000005E-4</v>
          </cell>
          <cell r="AO149">
            <v>2.9127065184000005E-4</v>
          </cell>
          <cell r="AP149">
            <v>2.9127065184000005E-4</v>
          </cell>
          <cell r="AQ149">
            <v>2.9127065184000005E-4</v>
          </cell>
          <cell r="AR149">
            <v>2.9127065184000005E-4</v>
          </cell>
          <cell r="AS149">
            <v>2.9127065184000005E-4</v>
          </cell>
          <cell r="AT149">
            <v>2.9127065184000005E-4</v>
          </cell>
          <cell r="AU149">
            <v>2.9127065184000005E-4</v>
          </cell>
          <cell r="AV149">
            <v>2.9127065184000005E-4</v>
          </cell>
          <cell r="AW149">
            <v>2.9127065184000005E-4</v>
          </cell>
          <cell r="AX149">
            <v>2.9127065184000005E-4</v>
          </cell>
          <cell r="AY149">
            <v>2.9127065184000005E-4</v>
          </cell>
          <cell r="AZ149">
            <v>2.9127065184000005E-4</v>
          </cell>
          <cell r="BA149">
            <v>2.9127065184000005E-4</v>
          </cell>
          <cell r="BB149">
            <v>2.9127065184000005E-4</v>
          </cell>
          <cell r="BC149">
            <v>2.1312486719999999E-5</v>
          </cell>
          <cell r="BD149">
            <v>2.1312486719999999E-5</v>
          </cell>
          <cell r="BE149">
            <v>2.1312486719999999E-5</v>
          </cell>
          <cell r="BF149">
            <v>2.1312486719999999E-5</v>
          </cell>
          <cell r="BG149">
            <v>2.1312486719999999E-5</v>
          </cell>
          <cell r="BH149">
            <v>2.1312486719999999E-5</v>
          </cell>
          <cell r="BI149">
            <v>2.1312486719999999E-5</v>
          </cell>
          <cell r="BJ149">
            <v>2.1312486719999999E-5</v>
          </cell>
          <cell r="BK149">
            <v>2.1312486719999999E-5</v>
          </cell>
          <cell r="BL149">
            <v>2.1312486719999999E-5</v>
          </cell>
          <cell r="BM149">
            <v>2.1312486719999999E-5</v>
          </cell>
          <cell r="BN149">
            <v>2.1312486719999999E-5</v>
          </cell>
          <cell r="BO149">
            <v>2.1312486719999999E-5</v>
          </cell>
          <cell r="BP149">
            <v>2.1312486719999999E-5</v>
          </cell>
          <cell r="BQ149">
            <v>2.1312486719999999E-5</v>
          </cell>
          <cell r="BR149">
            <v>2.1312486719999999E-5</v>
          </cell>
          <cell r="BS149">
            <v>2.1312486719999999E-5</v>
          </cell>
          <cell r="BT149">
            <v>2.1312486719999999E-5</v>
          </cell>
          <cell r="BU149">
            <v>2.1312486719999999E-5</v>
          </cell>
          <cell r="BV149">
            <v>2.1312486719999999E-5</v>
          </cell>
          <cell r="BW149">
            <v>2.1312486719999999E-5</v>
          </cell>
          <cell r="BX149">
            <v>2.1312486719999999E-5</v>
          </cell>
          <cell r="BY149">
            <v>2.1312486719999999E-5</v>
          </cell>
        </row>
        <row r="150">
          <cell r="H150" t="str">
            <v>Veículo comercial leve a Diesel</v>
          </cell>
          <cell r="I150">
            <v>2.6709999999999998</v>
          </cell>
          <cell r="J150">
            <v>2.6709999999999998</v>
          </cell>
          <cell r="K150">
            <v>2.6709999999999998</v>
          </cell>
          <cell r="L150">
            <v>2.6709999999999998</v>
          </cell>
          <cell r="M150">
            <v>2.6709999999999998</v>
          </cell>
          <cell r="N150">
            <v>2.6709999999999998</v>
          </cell>
          <cell r="O150">
            <v>2.6709999999999998</v>
          </cell>
          <cell r="P150">
            <v>2.6709999999999998</v>
          </cell>
          <cell r="Q150">
            <v>2.6709999999999998</v>
          </cell>
          <cell r="R150">
            <v>2.6709999999999998</v>
          </cell>
          <cell r="S150">
            <v>2.6709999999999998</v>
          </cell>
          <cell r="T150">
            <v>2.6709999999999998</v>
          </cell>
          <cell r="U150">
            <v>2.6709999999999998</v>
          </cell>
          <cell r="V150">
            <v>2.6709999999999998</v>
          </cell>
          <cell r="W150">
            <v>2.6709999999999998</v>
          </cell>
          <cell r="X150">
            <v>2.6709999999999998</v>
          </cell>
          <cell r="Y150">
            <v>2.6709999999999998</v>
          </cell>
          <cell r="Z150">
            <v>2.6709999999999998</v>
          </cell>
          <cell r="AA150">
            <v>2.6709999999999998</v>
          </cell>
          <cell r="AB150">
            <v>2.6709999999999998</v>
          </cell>
          <cell r="AC150">
            <v>2.6709999999999998</v>
          </cell>
          <cell r="AD150">
            <v>2.6709999999999998</v>
          </cell>
          <cell r="AE150">
            <v>2.6709999999999998</v>
          </cell>
          <cell r="AF150">
            <v>2.9127065184000005E-4</v>
          </cell>
          <cell r="AG150">
            <v>2.9127065184000005E-4</v>
          </cell>
          <cell r="AH150">
            <v>2.9127065184000005E-4</v>
          </cell>
          <cell r="AI150">
            <v>2.9127065184000005E-4</v>
          </cell>
          <cell r="AJ150">
            <v>2.9127065184000005E-4</v>
          </cell>
          <cell r="AK150">
            <v>2.9127065184000005E-4</v>
          </cell>
          <cell r="AL150">
            <v>2.841664896E-4</v>
          </cell>
          <cell r="AM150">
            <v>2.6995816512000002E-4</v>
          </cell>
          <cell r="AN150">
            <v>2.5574984063999999E-4</v>
          </cell>
          <cell r="AO150">
            <v>2.4154151616000001E-4</v>
          </cell>
          <cell r="AP150">
            <v>2.3088527280000002E-4</v>
          </cell>
          <cell r="AQ150">
            <v>2.2022902944000001E-4</v>
          </cell>
          <cell r="AR150">
            <v>2.1312486720000002E-4</v>
          </cell>
          <cell r="AS150">
            <v>2.0602070496E-4</v>
          </cell>
          <cell r="AT150">
            <v>2.0246862384E-4</v>
          </cell>
          <cell r="AU150">
            <v>1.9536446159999999E-4</v>
          </cell>
          <cell r="AV150">
            <v>1.9536446159999999E-4</v>
          </cell>
          <cell r="AW150">
            <v>1.9536446159999999E-4</v>
          </cell>
          <cell r="AX150">
            <v>1.9536446159999999E-4</v>
          </cell>
          <cell r="AY150">
            <v>1.9536446159999999E-4</v>
          </cell>
          <cell r="AZ150">
            <v>1.9536446159999999E-4</v>
          </cell>
          <cell r="BA150">
            <v>1.9536446159999999E-4</v>
          </cell>
          <cell r="BB150">
            <v>1.9536446159999999E-4</v>
          </cell>
          <cell r="BC150">
            <v>2.1312486719999999E-5</v>
          </cell>
          <cell r="BD150">
            <v>2.1312486719999999E-5</v>
          </cell>
          <cell r="BE150">
            <v>2.1312486719999999E-5</v>
          </cell>
          <cell r="BF150">
            <v>2.1312486719999999E-5</v>
          </cell>
          <cell r="BG150">
            <v>2.1312486719999999E-5</v>
          </cell>
          <cell r="BH150">
            <v>2.1312486719999999E-5</v>
          </cell>
          <cell r="BI150">
            <v>2.1312486719999999E-5</v>
          </cell>
          <cell r="BJ150">
            <v>2.1312486719999999E-5</v>
          </cell>
          <cell r="BK150">
            <v>2.1312486719999999E-5</v>
          </cell>
          <cell r="BL150">
            <v>2.1312486719999999E-5</v>
          </cell>
          <cell r="BM150">
            <v>2.1312486719999999E-5</v>
          </cell>
          <cell r="BN150">
            <v>2.1312486719999999E-5</v>
          </cell>
          <cell r="BO150">
            <v>2.1312486719999999E-5</v>
          </cell>
          <cell r="BP150">
            <v>2.1312486719999999E-5</v>
          </cell>
          <cell r="BQ150">
            <v>2.1312486719999999E-5</v>
          </cell>
          <cell r="BR150">
            <v>2.1312486719999999E-5</v>
          </cell>
          <cell r="BS150">
            <v>2.1312486719999999E-5</v>
          </cell>
          <cell r="BT150">
            <v>2.1312486719999999E-5</v>
          </cell>
          <cell r="BU150">
            <v>2.1312486719999999E-5</v>
          </cell>
          <cell r="BV150">
            <v>2.1312486719999999E-5</v>
          </cell>
          <cell r="BW150">
            <v>2.1312486719999999E-5</v>
          </cell>
          <cell r="BX150">
            <v>2.1312486719999999E-5</v>
          </cell>
          <cell r="BY150">
            <v>2.1312486719999999E-5</v>
          </cell>
        </row>
        <row r="151">
          <cell r="H151" t="str">
            <v>Ônibus rodoviário a Diesel</v>
          </cell>
          <cell r="I151">
            <v>2.6709999999999998</v>
          </cell>
          <cell r="J151">
            <v>2.6709999999999998</v>
          </cell>
          <cell r="K151">
            <v>2.6709999999999998</v>
          </cell>
          <cell r="L151">
            <v>2.6709999999999998</v>
          </cell>
          <cell r="M151">
            <v>2.6709999999999998</v>
          </cell>
          <cell r="N151">
            <v>2.6709999999999998</v>
          </cell>
          <cell r="O151">
            <v>2.6709999999999998</v>
          </cell>
          <cell r="P151">
            <v>2.6709999999999998</v>
          </cell>
          <cell r="Q151">
            <v>2.6709999999999998</v>
          </cell>
          <cell r="R151">
            <v>2.6709999999999998</v>
          </cell>
          <cell r="S151">
            <v>2.6709999999999998</v>
          </cell>
          <cell r="T151">
            <v>2.6709999999999998</v>
          </cell>
          <cell r="U151">
            <v>2.6709999999999998</v>
          </cell>
          <cell r="V151">
            <v>2.6709999999999998</v>
          </cell>
          <cell r="W151">
            <v>2.6709999999999998</v>
          </cell>
          <cell r="X151">
            <v>2.6709999999999998</v>
          </cell>
          <cell r="Y151">
            <v>2.6709999999999998</v>
          </cell>
          <cell r="Z151">
            <v>2.6709999999999998</v>
          </cell>
          <cell r="AA151">
            <v>2.6709999999999998</v>
          </cell>
          <cell r="AB151">
            <v>2.6709999999999998</v>
          </cell>
          <cell r="AC151">
            <v>2.6709999999999998</v>
          </cell>
          <cell r="AD151">
            <v>2.6709999999999998</v>
          </cell>
          <cell r="AE151">
            <v>2.6709999999999998</v>
          </cell>
          <cell r="AF151">
            <v>2.9127065184000005E-4</v>
          </cell>
          <cell r="AG151">
            <v>2.9127065184000005E-4</v>
          </cell>
          <cell r="AH151">
            <v>2.9127065184000005E-4</v>
          </cell>
          <cell r="AI151">
            <v>2.9127065184000005E-4</v>
          </cell>
          <cell r="AJ151">
            <v>2.9127065184000005E-4</v>
          </cell>
          <cell r="AK151">
            <v>2.9127065184000005E-4</v>
          </cell>
          <cell r="AL151">
            <v>2.841664896E-4</v>
          </cell>
          <cell r="AM151">
            <v>2.7706232736000001E-4</v>
          </cell>
          <cell r="AN151">
            <v>2.66406084E-4</v>
          </cell>
          <cell r="AO151">
            <v>2.5930192176000001E-4</v>
          </cell>
          <cell r="AP151">
            <v>2.5219775951999996E-4</v>
          </cell>
          <cell r="AQ151">
            <v>2.4154151616000001E-4</v>
          </cell>
          <cell r="AR151">
            <v>2.3443735392000002E-4</v>
          </cell>
          <cell r="AS151">
            <v>2.2733319168E-4</v>
          </cell>
          <cell r="AT151">
            <v>2.2022902944000001E-4</v>
          </cell>
          <cell r="AU151">
            <v>2.1667694832000001E-4</v>
          </cell>
          <cell r="AV151">
            <v>2.1667694832000001E-4</v>
          </cell>
          <cell r="AW151">
            <v>2.1667694832000001E-4</v>
          </cell>
          <cell r="AX151">
            <v>2.1667694832000001E-4</v>
          </cell>
          <cell r="AY151">
            <v>2.1667694832000001E-4</v>
          </cell>
          <cell r="AZ151">
            <v>2.1667694832000001E-4</v>
          </cell>
          <cell r="BA151">
            <v>2.1667694832000001E-4</v>
          </cell>
          <cell r="BB151">
            <v>2.1667694832000001E-4</v>
          </cell>
          <cell r="BC151">
            <v>2.1312486719999999E-5</v>
          </cell>
          <cell r="BD151">
            <v>2.1312486719999999E-5</v>
          </cell>
          <cell r="BE151">
            <v>2.1312486719999999E-5</v>
          </cell>
          <cell r="BF151">
            <v>2.1312486719999999E-5</v>
          </cell>
          <cell r="BG151">
            <v>2.1312486719999999E-5</v>
          </cell>
          <cell r="BH151">
            <v>2.1312486719999999E-5</v>
          </cell>
          <cell r="BI151">
            <v>2.1312486719999999E-5</v>
          </cell>
          <cell r="BJ151">
            <v>2.1312486719999999E-5</v>
          </cell>
          <cell r="BK151">
            <v>2.1312486719999999E-5</v>
          </cell>
          <cell r="BL151">
            <v>2.1312486719999999E-5</v>
          </cell>
          <cell r="BM151">
            <v>2.1312486719999999E-5</v>
          </cell>
          <cell r="BN151">
            <v>2.1312486719999999E-5</v>
          </cell>
          <cell r="BO151">
            <v>2.1312486719999999E-5</v>
          </cell>
          <cell r="BP151">
            <v>2.1312486719999999E-5</v>
          </cell>
          <cell r="BQ151">
            <v>2.1312486719999999E-5</v>
          </cell>
          <cell r="BR151">
            <v>2.1312486719999999E-5</v>
          </cell>
          <cell r="BS151">
            <v>2.1312486719999999E-5</v>
          </cell>
          <cell r="BT151">
            <v>2.1312486719999999E-5</v>
          </cell>
          <cell r="BU151">
            <v>2.1312486719999999E-5</v>
          </cell>
          <cell r="BV151">
            <v>2.1312486719999999E-5</v>
          </cell>
          <cell r="BW151">
            <v>2.1312486719999999E-5</v>
          </cell>
          <cell r="BX151">
            <v>2.1312486719999999E-5</v>
          </cell>
          <cell r="BY151">
            <v>2.1312486719999999E-5</v>
          </cell>
        </row>
        <row r="152">
          <cell r="H152" t="str">
            <v>Ônibus urbano a Diesel</v>
          </cell>
          <cell r="I152">
            <v>2.6709999999999998</v>
          </cell>
          <cell r="J152">
            <v>2.6709999999999998</v>
          </cell>
          <cell r="K152">
            <v>2.6709999999999998</v>
          </cell>
          <cell r="L152">
            <v>2.6709999999999998</v>
          </cell>
          <cell r="M152">
            <v>2.6709999999999998</v>
          </cell>
          <cell r="N152">
            <v>2.6709999999999998</v>
          </cell>
          <cell r="O152">
            <v>2.6709999999999998</v>
          </cell>
          <cell r="P152">
            <v>2.6709999999999998</v>
          </cell>
          <cell r="Q152">
            <v>2.6709999999999998</v>
          </cell>
          <cell r="R152">
            <v>2.6709999999999998</v>
          </cell>
          <cell r="S152">
            <v>2.6709999999999998</v>
          </cell>
          <cell r="T152">
            <v>2.6709999999999998</v>
          </cell>
          <cell r="U152">
            <v>2.6709999999999998</v>
          </cell>
          <cell r="V152">
            <v>2.6709999999999998</v>
          </cell>
          <cell r="W152">
            <v>2.6709999999999998</v>
          </cell>
          <cell r="X152">
            <v>2.6709999999999998</v>
          </cell>
          <cell r="Y152">
            <v>2.6709999999999998</v>
          </cell>
          <cell r="Z152">
            <v>2.6709999999999998</v>
          </cell>
          <cell r="AA152">
            <v>2.6709999999999998</v>
          </cell>
          <cell r="AB152">
            <v>2.6709999999999998</v>
          </cell>
          <cell r="AC152">
            <v>2.6709999999999998</v>
          </cell>
          <cell r="AD152">
            <v>2.6709999999999998</v>
          </cell>
          <cell r="AE152">
            <v>2.6709999999999998</v>
          </cell>
          <cell r="AF152">
            <v>2.9127065184000005E-4</v>
          </cell>
          <cell r="AG152">
            <v>2.9127065184000005E-4</v>
          </cell>
          <cell r="AH152">
            <v>2.9127065184000005E-4</v>
          </cell>
          <cell r="AI152">
            <v>2.9127065184000005E-4</v>
          </cell>
          <cell r="AJ152">
            <v>2.9127065184000005E-4</v>
          </cell>
          <cell r="AK152">
            <v>2.9127065184000005E-4</v>
          </cell>
          <cell r="AL152">
            <v>2.841664896E-4</v>
          </cell>
          <cell r="AM152">
            <v>2.7706232736000001E-4</v>
          </cell>
          <cell r="AN152">
            <v>2.66406084E-4</v>
          </cell>
          <cell r="AO152">
            <v>2.5930192176000001E-4</v>
          </cell>
          <cell r="AP152">
            <v>2.5219775951999996E-4</v>
          </cell>
          <cell r="AQ152">
            <v>2.4154151616000001E-4</v>
          </cell>
          <cell r="AR152">
            <v>2.3443735392000002E-4</v>
          </cell>
          <cell r="AS152">
            <v>2.2733319168E-4</v>
          </cell>
          <cell r="AT152">
            <v>2.2022902944000001E-4</v>
          </cell>
          <cell r="AU152">
            <v>2.1667694832000001E-4</v>
          </cell>
          <cell r="AV152">
            <v>2.1667694832000001E-4</v>
          </cell>
          <cell r="AW152">
            <v>2.1667694832000001E-4</v>
          </cell>
          <cell r="AX152">
            <v>2.1667694832000001E-4</v>
          </cell>
          <cell r="AY152">
            <v>2.1667694832000001E-4</v>
          </cell>
          <cell r="AZ152">
            <v>2.1667694832000001E-4</v>
          </cell>
          <cell r="BA152">
            <v>2.1667694832000001E-4</v>
          </cell>
          <cell r="BB152">
            <v>2.1667694832000001E-4</v>
          </cell>
          <cell r="BC152">
            <v>2.1312486719999999E-5</v>
          </cell>
          <cell r="BD152">
            <v>2.1312486719999999E-5</v>
          </cell>
          <cell r="BE152">
            <v>2.1312486719999999E-5</v>
          </cell>
          <cell r="BF152">
            <v>2.1312486719999999E-5</v>
          </cell>
          <cell r="BG152">
            <v>2.1312486719999999E-5</v>
          </cell>
          <cell r="BH152">
            <v>2.1312486719999999E-5</v>
          </cell>
          <cell r="BI152">
            <v>2.1312486719999999E-5</v>
          </cell>
          <cell r="BJ152">
            <v>2.1312486719999999E-5</v>
          </cell>
          <cell r="BK152">
            <v>2.1312486719999999E-5</v>
          </cell>
          <cell r="BL152">
            <v>2.1312486719999999E-5</v>
          </cell>
          <cell r="BM152">
            <v>2.1312486719999999E-5</v>
          </cell>
          <cell r="BN152">
            <v>2.1312486719999999E-5</v>
          </cell>
          <cell r="BO152">
            <v>2.1312486719999999E-5</v>
          </cell>
          <cell r="BP152">
            <v>2.1312486719999999E-5</v>
          </cell>
          <cell r="BQ152">
            <v>2.1312486719999999E-5</v>
          </cell>
          <cell r="BR152">
            <v>2.1312486719999999E-5</v>
          </cell>
          <cell r="BS152">
            <v>2.1312486719999999E-5</v>
          </cell>
          <cell r="BT152">
            <v>2.1312486719999999E-5</v>
          </cell>
          <cell r="BU152">
            <v>2.1312486719999999E-5</v>
          </cell>
          <cell r="BV152">
            <v>2.1312486719999999E-5</v>
          </cell>
          <cell r="BW152">
            <v>2.1312486719999999E-5</v>
          </cell>
          <cell r="BX152">
            <v>2.1312486719999999E-5</v>
          </cell>
          <cell r="BY152">
            <v>2.1312486719999999E-5</v>
          </cell>
        </row>
        <row r="153">
          <cell r="H153" t="str">
            <v>Caminhão leve a Diesel</v>
          </cell>
          <cell r="I153">
            <v>2.6709999999999998</v>
          </cell>
          <cell r="J153">
            <v>2.6709999999999998</v>
          </cell>
          <cell r="K153">
            <v>2.6709999999999998</v>
          </cell>
          <cell r="L153">
            <v>2.6709999999999998</v>
          </cell>
          <cell r="M153">
            <v>2.6709999999999998</v>
          </cell>
          <cell r="N153">
            <v>2.6709999999999998</v>
          </cell>
          <cell r="O153">
            <v>2.6709999999999998</v>
          </cell>
          <cell r="P153">
            <v>2.6709999999999998</v>
          </cell>
          <cell r="Q153">
            <v>2.6709999999999998</v>
          </cell>
          <cell r="R153">
            <v>2.6709999999999998</v>
          </cell>
          <cell r="S153">
            <v>2.6709999999999998</v>
          </cell>
          <cell r="T153">
            <v>2.6709999999999998</v>
          </cell>
          <cell r="U153">
            <v>2.6709999999999998</v>
          </cell>
          <cell r="V153">
            <v>2.6709999999999998</v>
          </cell>
          <cell r="W153">
            <v>2.6709999999999998</v>
          </cell>
          <cell r="X153">
            <v>2.6709999999999998</v>
          </cell>
          <cell r="Y153">
            <v>2.6709999999999998</v>
          </cell>
          <cell r="Z153">
            <v>2.6709999999999998</v>
          </cell>
          <cell r="AA153">
            <v>2.6709999999999998</v>
          </cell>
          <cell r="AB153">
            <v>2.6709999999999998</v>
          </cell>
          <cell r="AC153">
            <v>2.6709999999999998</v>
          </cell>
          <cell r="AD153">
            <v>2.6709999999999998</v>
          </cell>
          <cell r="AE153">
            <v>2.6709999999999998</v>
          </cell>
          <cell r="AF153">
            <v>2.9127065184000005E-4</v>
          </cell>
          <cell r="AG153">
            <v>2.9127065184000005E-4</v>
          </cell>
          <cell r="AH153">
            <v>2.9127065184000005E-4</v>
          </cell>
          <cell r="AI153">
            <v>2.9127065184000005E-4</v>
          </cell>
          <cell r="AJ153">
            <v>2.9127065184000005E-4</v>
          </cell>
          <cell r="AK153">
            <v>2.9127065184000005E-4</v>
          </cell>
          <cell r="AL153">
            <v>2.8771857071999997E-4</v>
          </cell>
          <cell r="AM153">
            <v>2.8061440847999998E-4</v>
          </cell>
          <cell r="AN153">
            <v>2.7351024623999999E-4</v>
          </cell>
          <cell r="AO153">
            <v>2.6995816512000002E-4</v>
          </cell>
          <cell r="AP153">
            <v>2.6285400287999998E-4</v>
          </cell>
          <cell r="AQ153">
            <v>2.5219775951999996E-4</v>
          </cell>
          <cell r="AR153">
            <v>2.4509359728000003E-4</v>
          </cell>
          <cell r="AS153">
            <v>2.4154151616000001E-4</v>
          </cell>
          <cell r="AT153">
            <v>2.3443735392000002E-4</v>
          </cell>
          <cell r="AU153">
            <v>2.2733319168E-4</v>
          </cell>
          <cell r="AV153">
            <v>2.2733319168E-4</v>
          </cell>
          <cell r="AW153">
            <v>2.2733319168E-4</v>
          </cell>
          <cell r="AX153">
            <v>2.2733319168E-4</v>
          </cell>
          <cell r="AY153">
            <v>2.2733319168E-4</v>
          </cell>
          <cell r="AZ153">
            <v>2.2733319168E-4</v>
          </cell>
          <cell r="BA153">
            <v>2.2733319168E-4</v>
          </cell>
          <cell r="BB153">
            <v>2.2733319168E-4</v>
          </cell>
          <cell r="BC153">
            <v>2.1312486719999999E-5</v>
          </cell>
          <cell r="BD153">
            <v>2.1312486719999999E-5</v>
          </cell>
          <cell r="BE153">
            <v>2.1312486719999999E-5</v>
          </cell>
          <cell r="BF153">
            <v>2.1312486719999999E-5</v>
          </cell>
          <cell r="BG153">
            <v>2.1312486719999999E-5</v>
          </cell>
          <cell r="BH153">
            <v>2.1312486719999999E-5</v>
          </cell>
          <cell r="BI153">
            <v>2.1312486719999999E-5</v>
          </cell>
          <cell r="BJ153">
            <v>2.1312486719999999E-5</v>
          </cell>
          <cell r="BK153">
            <v>2.1312486719999999E-5</v>
          </cell>
          <cell r="BL153">
            <v>2.1312486719999999E-5</v>
          </cell>
          <cell r="BM153">
            <v>2.1312486719999999E-5</v>
          </cell>
          <cell r="BN153">
            <v>2.1312486719999999E-5</v>
          </cell>
          <cell r="BO153">
            <v>2.1312486719999999E-5</v>
          </cell>
          <cell r="BP153">
            <v>2.1312486719999999E-5</v>
          </cell>
          <cell r="BQ153">
            <v>2.1312486719999999E-5</v>
          </cell>
          <cell r="BR153">
            <v>2.1312486719999999E-5</v>
          </cell>
          <cell r="BS153">
            <v>2.1312486719999999E-5</v>
          </cell>
          <cell r="BT153">
            <v>2.1312486719999999E-5</v>
          </cell>
          <cell r="BU153">
            <v>2.1312486719999999E-5</v>
          </cell>
          <cell r="BV153">
            <v>2.1312486719999999E-5</v>
          </cell>
          <cell r="BW153">
            <v>2.1312486719999999E-5</v>
          </cell>
          <cell r="BX153">
            <v>2.1312486719999999E-5</v>
          </cell>
          <cell r="BY153">
            <v>2.1312486719999999E-5</v>
          </cell>
        </row>
        <row r="154">
          <cell r="H154" t="str">
            <v>Caminhão médio a Diesel</v>
          </cell>
          <cell r="I154">
            <v>2.6709999999999998</v>
          </cell>
          <cell r="J154">
            <v>2.6709999999999998</v>
          </cell>
          <cell r="K154">
            <v>2.6709999999999998</v>
          </cell>
          <cell r="L154">
            <v>2.6709999999999998</v>
          </cell>
          <cell r="M154">
            <v>2.6709999999999998</v>
          </cell>
          <cell r="N154">
            <v>2.6709999999999998</v>
          </cell>
          <cell r="O154">
            <v>2.6709999999999998</v>
          </cell>
          <cell r="P154">
            <v>2.6709999999999998</v>
          </cell>
          <cell r="Q154">
            <v>2.6709999999999998</v>
          </cell>
          <cell r="R154">
            <v>2.6709999999999998</v>
          </cell>
          <cell r="S154">
            <v>2.6709999999999998</v>
          </cell>
          <cell r="T154">
            <v>2.6709999999999998</v>
          </cell>
          <cell r="U154">
            <v>2.6709999999999998</v>
          </cell>
          <cell r="V154">
            <v>2.6709999999999998</v>
          </cell>
          <cell r="W154">
            <v>2.6709999999999998</v>
          </cell>
          <cell r="X154">
            <v>2.6709999999999998</v>
          </cell>
          <cell r="Y154">
            <v>2.6709999999999998</v>
          </cell>
          <cell r="Z154">
            <v>2.6709999999999998</v>
          </cell>
          <cell r="AA154">
            <v>2.6709999999999998</v>
          </cell>
          <cell r="AB154">
            <v>2.6709999999999998</v>
          </cell>
          <cell r="AC154">
            <v>2.6709999999999998</v>
          </cell>
          <cell r="AD154">
            <v>2.6709999999999998</v>
          </cell>
          <cell r="AE154">
            <v>2.6709999999999998</v>
          </cell>
          <cell r="AF154">
            <v>2.9127065184000005E-4</v>
          </cell>
          <cell r="AG154">
            <v>2.9127065184000005E-4</v>
          </cell>
          <cell r="AH154">
            <v>2.9127065184000005E-4</v>
          </cell>
          <cell r="AI154">
            <v>2.9127065184000005E-4</v>
          </cell>
          <cell r="AJ154">
            <v>2.9127065184000005E-4</v>
          </cell>
          <cell r="AK154">
            <v>2.9127065184000005E-4</v>
          </cell>
          <cell r="AL154">
            <v>2.8771857071999997E-4</v>
          </cell>
          <cell r="AM154">
            <v>2.8061440847999998E-4</v>
          </cell>
          <cell r="AN154">
            <v>2.7351024623999999E-4</v>
          </cell>
          <cell r="AO154">
            <v>2.6995816512000002E-4</v>
          </cell>
          <cell r="AP154">
            <v>2.6285400287999998E-4</v>
          </cell>
          <cell r="AQ154">
            <v>2.5219775951999996E-4</v>
          </cell>
          <cell r="AR154">
            <v>2.4509359728000003E-4</v>
          </cell>
          <cell r="AS154">
            <v>2.4154151616000001E-4</v>
          </cell>
          <cell r="AT154">
            <v>2.3443735392000002E-4</v>
          </cell>
          <cell r="AU154">
            <v>2.2733319168E-4</v>
          </cell>
          <cell r="AV154">
            <v>2.2733319168E-4</v>
          </cell>
          <cell r="AW154">
            <v>2.2733319168E-4</v>
          </cell>
          <cell r="AX154">
            <v>2.2733319168E-4</v>
          </cell>
          <cell r="AY154">
            <v>2.2733319168E-4</v>
          </cell>
          <cell r="AZ154">
            <v>2.2733319168E-4</v>
          </cell>
          <cell r="BA154">
            <v>2.2733319168E-4</v>
          </cell>
          <cell r="BB154">
            <v>2.2733319168E-4</v>
          </cell>
          <cell r="BC154">
            <v>2.1312486719999999E-5</v>
          </cell>
          <cell r="BD154">
            <v>2.1312486719999999E-5</v>
          </cell>
          <cell r="BE154">
            <v>2.1312486719999999E-5</v>
          </cell>
          <cell r="BF154">
            <v>2.1312486719999999E-5</v>
          </cell>
          <cell r="BG154">
            <v>2.1312486719999999E-5</v>
          </cell>
          <cell r="BH154">
            <v>2.1312486719999999E-5</v>
          </cell>
          <cell r="BI154">
            <v>2.1312486719999999E-5</v>
          </cell>
          <cell r="BJ154">
            <v>2.1312486719999999E-5</v>
          </cell>
          <cell r="BK154">
            <v>2.1312486719999999E-5</v>
          </cell>
          <cell r="BL154">
            <v>2.1312486719999999E-5</v>
          </cell>
          <cell r="BM154">
            <v>2.1312486719999999E-5</v>
          </cell>
          <cell r="BN154">
            <v>2.1312486719999999E-5</v>
          </cell>
          <cell r="BO154">
            <v>2.1312486719999999E-5</v>
          </cell>
          <cell r="BP154">
            <v>2.1312486719999999E-5</v>
          </cell>
          <cell r="BQ154">
            <v>2.1312486719999999E-5</v>
          </cell>
          <cell r="BR154">
            <v>2.1312486719999999E-5</v>
          </cell>
          <cell r="BS154">
            <v>2.1312486719999999E-5</v>
          </cell>
          <cell r="BT154">
            <v>2.1312486719999999E-5</v>
          </cell>
          <cell r="BU154">
            <v>2.1312486719999999E-5</v>
          </cell>
          <cell r="BV154">
            <v>2.1312486719999999E-5</v>
          </cell>
          <cell r="BW154">
            <v>2.1312486719999999E-5</v>
          </cell>
          <cell r="BX154">
            <v>2.1312486719999999E-5</v>
          </cell>
          <cell r="BY154">
            <v>2.1312486719999999E-5</v>
          </cell>
        </row>
        <row r="155">
          <cell r="H155" t="str">
            <v>Caminhão pesado a Diesel</v>
          </cell>
          <cell r="I155">
            <v>2.6709999999999998</v>
          </cell>
          <cell r="J155">
            <v>2.6709999999999998</v>
          </cell>
          <cell r="K155">
            <v>2.6709999999999998</v>
          </cell>
          <cell r="L155">
            <v>2.6709999999999998</v>
          </cell>
          <cell r="M155">
            <v>2.6709999999999998</v>
          </cell>
          <cell r="N155">
            <v>2.6709999999999998</v>
          </cell>
          <cell r="O155">
            <v>2.6709999999999998</v>
          </cell>
          <cell r="P155">
            <v>2.6709999999999998</v>
          </cell>
          <cell r="Q155">
            <v>2.6709999999999998</v>
          </cell>
          <cell r="R155">
            <v>2.6709999999999998</v>
          </cell>
          <cell r="S155">
            <v>2.6709999999999998</v>
          </cell>
          <cell r="T155">
            <v>2.6709999999999998</v>
          </cell>
          <cell r="U155">
            <v>2.6709999999999998</v>
          </cell>
          <cell r="V155">
            <v>2.6709999999999998</v>
          </cell>
          <cell r="W155">
            <v>2.6709999999999998</v>
          </cell>
          <cell r="X155">
            <v>2.6709999999999998</v>
          </cell>
          <cell r="Y155">
            <v>2.6709999999999998</v>
          </cell>
          <cell r="Z155">
            <v>2.6709999999999998</v>
          </cell>
          <cell r="AA155">
            <v>2.6709999999999998</v>
          </cell>
          <cell r="AB155">
            <v>2.6709999999999998</v>
          </cell>
          <cell r="AC155">
            <v>2.6709999999999998</v>
          </cell>
          <cell r="AD155">
            <v>2.6709999999999998</v>
          </cell>
          <cell r="AE155">
            <v>2.6709999999999998</v>
          </cell>
          <cell r="AF155">
            <v>2.9127065184000005E-4</v>
          </cell>
          <cell r="AG155">
            <v>2.9127065184000005E-4</v>
          </cell>
          <cell r="AH155">
            <v>2.9127065184000005E-4</v>
          </cell>
          <cell r="AI155">
            <v>2.9127065184000005E-4</v>
          </cell>
          <cell r="AJ155">
            <v>2.9127065184000005E-4</v>
          </cell>
          <cell r="AK155">
            <v>2.9127065184000005E-4</v>
          </cell>
          <cell r="AL155">
            <v>2.8771857071999997E-4</v>
          </cell>
          <cell r="AM155">
            <v>2.8061440847999998E-4</v>
          </cell>
          <cell r="AN155">
            <v>2.7351024623999999E-4</v>
          </cell>
          <cell r="AO155">
            <v>2.6995816512000002E-4</v>
          </cell>
          <cell r="AP155">
            <v>2.6285400287999998E-4</v>
          </cell>
          <cell r="AQ155">
            <v>2.5219775951999996E-4</v>
          </cell>
          <cell r="AR155">
            <v>2.4509359728000003E-4</v>
          </cell>
          <cell r="AS155">
            <v>2.4154151616000001E-4</v>
          </cell>
          <cell r="AT155">
            <v>2.3443735392000002E-4</v>
          </cell>
          <cell r="AU155">
            <v>2.2733319168E-4</v>
          </cell>
          <cell r="AV155">
            <v>2.2733319168E-4</v>
          </cell>
          <cell r="AW155">
            <v>2.2733319168E-4</v>
          </cell>
          <cell r="AX155">
            <v>2.2733319168E-4</v>
          </cell>
          <cell r="AY155">
            <v>2.2733319168E-4</v>
          </cell>
          <cell r="AZ155">
            <v>2.2733319168E-4</v>
          </cell>
          <cell r="BA155">
            <v>2.2733319168E-4</v>
          </cell>
          <cell r="BB155">
            <v>2.2733319168E-4</v>
          </cell>
          <cell r="BC155">
            <v>2.1312486719999999E-5</v>
          </cell>
          <cell r="BD155">
            <v>2.1312486719999999E-5</v>
          </cell>
          <cell r="BE155">
            <v>2.1312486719999999E-5</v>
          </cell>
          <cell r="BF155">
            <v>2.1312486719999999E-5</v>
          </cell>
          <cell r="BG155">
            <v>2.1312486719999999E-5</v>
          </cell>
          <cell r="BH155">
            <v>2.1312486719999999E-5</v>
          </cell>
          <cell r="BI155">
            <v>2.1312486719999999E-5</v>
          </cell>
          <cell r="BJ155">
            <v>2.1312486719999999E-5</v>
          </cell>
          <cell r="BK155">
            <v>2.1312486719999999E-5</v>
          </cell>
          <cell r="BL155">
            <v>2.1312486719999999E-5</v>
          </cell>
          <cell r="BM155">
            <v>2.1312486719999999E-5</v>
          </cell>
          <cell r="BN155">
            <v>2.1312486719999999E-5</v>
          </cell>
          <cell r="BO155">
            <v>2.1312486719999999E-5</v>
          </cell>
          <cell r="BP155">
            <v>2.1312486719999999E-5</v>
          </cell>
          <cell r="BQ155">
            <v>2.1312486719999999E-5</v>
          </cell>
          <cell r="BR155">
            <v>2.1312486719999999E-5</v>
          </cell>
          <cell r="BS155">
            <v>2.1312486719999999E-5</v>
          </cell>
          <cell r="BT155">
            <v>2.1312486719999999E-5</v>
          </cell>
          <cell r="BU155">
            <v>2.1312486719999999E-5</v>
          </cell>
          <cell r="BV155">
            <v>2.1312486719999999E-5</v>
          </cell>
          <cell r="BW155">
            <v>2.1312486719999999E-5</v>
          </cell>
          <cell r="BX155">
            <v>2.1312486719999999E-5</v>
          </cell>
          <cell r="BY155">
            <v>2.1312486719999999E-5</v>
          </cell>
        </row>
        <row r="156">
          <cell r="H156" t="str">
            <v>Veículo leve a GNV</v>
          </cell>
          <cell r="I156">
            <v>1.9990000000000001</v>
          </cell>
          <cell r="J156">
            <v>1.9990000000000001</v>
          </cell>
          <cell r="K156">
            <v>1.9990000000000001</v>
          </cell>
          <cell r="L156">
            <v>1.9990000000000001</v>
          </cell>
          <cell r="M156">
            <v>1.9990000000000001</v>
          </cell>
          <cell r="N156">
            <v>1.9990000000000001</v>
          </cell>
          <cell r="O156">
            <v>1.9990000000000001</v>
          </cell>
          <cell r="P156">
            <v>1.9990000000000001</v>
          </cell>
          <cell r="Q156">
            <v>1.9990000000000001</v>
          </cell>
          <cell r="R156">
            <v>1.9990000000000001</v>
          </cell>
          <cell r="S156">
            <v>1.9990000000000001</v>
          </cell>
          <cell r="T156">
            <v>1.9990000000000001</v>
          </cell>
          <cell r="U156">
            <v>1.9990000000000001</v>
          </cell>
          <cell r="V156">
            <v>1.9990000000000001</v>
          </cell>
          <cell r="W156">
            <v>1.9990000000000001</v>
          </cell>
          <cell r="X156">
            <v>1.9990000000000001</v>
          </cell>
          <cell r="Y156">
            <v>1.9990000000000001</v>
          </cell>
          <cell r="Z156">
            <v>1.9990000000000001</v>
          </cell>
          <cell r="AA156">
            <v>1.9990000000000001</v>
          </cell>
          <cell r="AB156">
            <v>1.9990000000000001</v>
          </cell>
          <cell r="AC156">
            <v>1.9990000000000001</v>
          </cell>
          <cell r="AD156">
            <v>1.9990000000000001</v>
          </cell>
          <cell r="AE156">
            <v>1.9990000000000001</v>
          </cell>
          <cell r="AF156">
            <v>3.3896332800000002E-3</v>
          </cell>
          <cell r="AG156">
            <v>3.3896332800000002E-3</v>
          </cell>
          <cell r="AH156">
            <v>3.3896332800000002E-3</v>
          </cell>
          <cell r="AI156">
            <v>3.3896332800000002E-3</v>
          </cell>
          <cell r="AJ156">
            <v>3.3896332800000002E-3</v>
          </cell>
          <cell r="AK156">
            <v>3.3896332800000002E-3</v>
          </cell>
          <cell r="AL156">
            <v>3.3896332800000002E-3</v>
          </cell>
          <cell r="AM156">
            <v>3.3896332800000002E-3</v>
          </cell>
          <cell r="AN156">
            <v>3.3896332800000002E-3</v>
          </cell>
          <cell r="AO156">
            <v>3.3896332800000002E-3</v>
          </cell>
          <cell r="AP156">
            <v>3.3896332800000002E-3</v>
          </cell>
          <cell r="AQ156">
            <v>3.3896332800000002E-3</v>
          </cell>
          <cell r="AR156">
            <v>3.3896332800000002E-3</v>
          </cell>
          <cell r="AS156">
            <v>3.3896332800000002E-3</v>
          </cell>
          <cell r="AT156">
            <v>3.3896332800000002E-3</v>
          </cell>
          <cell r="AU156">
            <v>3.3896332800000002E-3</v>
          </cell>
          <cell r="AV156">
            <v>3.3896332800000002E-3</v>
          </cell>
          <cell r="AW156">
            <v>3.3896332800000002E-3</v>
          </cell>
          <cell r="AX156">
            <v>3.3896332800000002E-3</v>
          </cell>
          <cell r="AY156">
            <v>3.3896332800000002E-3</v>
          </cell>
          <cell r="AZ156">
            <v>3.3896332800000002E-3</v>
          </cell>
          <cell r="BA156">
            <v>3.3896332800000002E-3</v>
          </cell>
          <cell r="BB156">
            <v>3.3896332800000002E-3</v>
          </cell>
          <cell r="BC156">
            <v>1.1053152E-4</v>
          </cell>
          <cell r="BD156">
            <v>1.1053152E-4</v>
          </cell>
          <cell r="BE156">
            <v>1.1053152E-4</v>
          </cell>
          <cell r="BF156">
            <v>1.1053152E-4</v>
          </cell>
          <cell r="BG156">
            <v>1.1053152E-4</v>
          </cell>
          <cell r="BH156">
            <v>1.1053152E-4</v>
          </cell>
          <cell r="BI156">
            <v>1.1053152E-4</v>
          </cell>
          <cell r="BJ156">
            <v>1.1053152E-4</v>
          </cell>
          <cell r="BK156">
            <v>1.1053152E-4</v>
          </cell>
          <cell r="BL156">
            <v>1.1053152E-4</v>
          </cell>
          <cell r="BM156">
            <v>1.1053152E-4</v>
          </cell>
          <cell r="BN156">
            <v>1.1053152E-4</v>
          </cell>
          <cell r="BO156">
            <v>1.1053152E-4</v>
          </cell>
          <cell r="BP156">
            <v>1.1053152E-4</v>
          </cell>
          <cell r="BQ156">
            <v>1.1053152E-4</v>
          </cell>
          <cell r="BR156">
            <v>1.1053152E-4</v>
          </cell>
          <cell r="BS156">
            <v>1.1053152E-4</v>
          </cell>
          <cell r="BT156">
            <v>1.1053152E-4</v>
          </cell>
          <cell r="BU156">
            <v>1.1053152E-4</v>
          </cell>
          <cell r="BV156">
            <v>1.1053152E-4</v>
          </cell>
          <cell r="BW156">
            <v>1.1053152E-4</v>
          </cell>
          <cell r="BX156">
            <v>1.1053152E-4</v>
          </cell>
          <cell r="BY156">
            <v>1.1053152E-4</v>
          </cell>
        </row>
        <row r="157">
          <cell r="H157" t="str">
            <v>Veículo médio a GNV</v>
          </cell>
          <cell r="I157">
            <v>1.9990000000000001</v>
          </cell>
          <cell r="J157">
            <v>1.9990000000000001</v>
          </cell>
          <cell r="K157">
            <v>1.9990000000000001</v>
          </cell>
          <cell r="L157">
            <v>1.9990000000000001</v>
          </cell>
          <cell r="M157">
            <v>1.9990000000000001</v>
          </cell>
          <cell r="N157">
            <v>1.9990000000000001</v>
          </cell>
          <cell r="O157">
            <v>1.9990000000000001</v>
          </cell>
          <cell r="P157">
            <v>1.9990000000000001</v>
          </cell>
          <cell r="Q157">
            <v>1.9990000000000001</v>
          </cell>
          <cell r="R157">
            <v>1.9990000000000001</v>
          </cell>
          <cell r="S157">
            <v>1.9990000000000001</v>
          </cell>
          <cell r="T157">
            <v>1.9990000000000001</v>
          </cell>
          <cell r="U157">
            <v>1.9990000000000001</v>
          </cell>
          <cell r="V157">
            <v>1.9990000000000001</v>
          </cell>
          <cell r="W157">
            <v>1.9990000000000001</v>
          </cell>
          <cell r="X157">
            <v>1.9990000000000001</v>
          </cell>
          <cell r="Y157">
            <v>1.9990000000000001</v>
          </cell>
          <cell r="Z157">
            <v>1.9990000000000001</v>
          </cell>
          <cell r="AA157">
            <v>1.9990000000000001</v>
          </cell>
          <cell r="AB157">
            <v>1.9990000000000001</v>
          </cell>
          <cell r="AC157">
            <v>1.9990000000000001</v>
          </cell>
          <cell r="AD157">
            <v>1.9990000000000001</v>
          </cell>
          <cell r="AE157">
            <v>1.9990000000000001</v>
          </cell>
          <cell r="AF157">
            <v>3.3896332800000002E-3</v>
          </cell>
          <cell r="AG157">
            <v>3.3896332800000002E-3</v>
          </cell>
          <cell r="AH157">
            <v>3.3896332800000002E-3</v>
          </cell>
          <cell r="AI157">
            <v>3.3896332800000002E-3</v>
          </cell>
          <cell r="AJ157">
            <v>3.3896332800000002E-3</v>
          </cell>
          <cell r="AK157">
            <v>3.3896332800000002E-3</v>
          </cell>
          <cell r="AL157">
            <v>3.3896332800000002E-3</v>
          </cell>
          <cell r="AM157">
            <v>3.3896332800000002E-3</v>
          </cell>
          <cell r="AN157">
            <v>3.3896332800000002E-3</v>
          </cell>
          <cell r="AO157">
            <v>3.3896332800000002E-3</v>
          </cell>
          <cell r="AP157">
            <v>3.3896332800000002E-3</v>
          </cell>
          <cell r="AQ157">
            <v>3.3896332800000002E-3</v>
          </cell>
          <cell r="AR157">
            <v>3.3896332800000002E-3</v>
          </cell>
          <cell r="AS157">
            <v>3.3896332800000002E-3</v>
          </cell>
          <cell r="AT157">
            <v>3.3896332800000002E-3</v>
          </cell>
          <cell r="AU157">
            <v>3.3896332800000002E-3</v>
          </cell>
          <cell r="AV157">
            <v>3.3896332800000002E-3</v>
          </cell>
          <cell r="AW157">
            <v>3.3896332800000002E-3</v>
          </cell>
          <cell r="AX157">
            <v>3.3896332800000002E-3</v>
          </cell>
          <cell r="AY157">
            <v>3.3896332800000002E-3</v>
          </cell>
          <cell r="AZ157">
            <v>3.3896332800000002E-3</v>
          </cell>
          <cell r="BA157">
            <v>3.3896332800000002E-3</v>
          </cell>
          <cell r="BB157">
            <v>3.3896332800000002E-3</v>
          </cell>
          <cell r="BC157">
            <v>1.1053152E-4</v>
          </cell>
          <cell r="BD157">
            <v>1.1053152E-4</v>
          </cell>
          <cell r="BE157">
            <v>1.1053152E-4</v>
          </cell>
          <cell r="BF157">
            <v>1.1053152E-4</v>
          </cell>
          <cell r="BG157">
            <v>1.1053152E-4</v>
          </cell>
          <cell r="BH157">
            <v>1.1053152E-4</v>
          </cell>
          <cell r="BI157">
            <v>1.1053152E-4</v>
          </cell>
          <cell r="BJ157">
            <v>1.1053152E-4</v>
          </cell>
          <cell r="BK157">
            <v>1.1053152E-4</v>
          </cell>
          <cell r="BL157">
            <v>1.1053152E-4</v>
          </cell>
          <cell r="BM157">
            <v>1.1053152E-4</v>
          </cell>
          <cell r="BN157">
            <v>1.1053152E-4</v>
          </cell>
          <cell r="BO157">
            <v>1.1053152E-4</v>
          </cell>
          <cell r="BP157">
            <v>1.1053152E-4</v>
          </cell>
          <cell r="BQ157">
            <v>1.1053152E-4</v>
          </cell>
          <cell r="BR157">
            <v>1.1053152E-4</v>
          </cell>
          <cell r="BS157">
            <v>1.1053152E-4</v>
          </cell>
          <cell r="BT157">
            <v>1.1053152E-4</v>
          </cell>
          <cell r="BU157">
            <v>1.1053152E-4</v>
          </cell>
          <cell r="BV157">
            <v>1.1053152E-4</v>
          </cell>
          <cell r="BW157">
            <v>1.1053152E-4</v>
          </cell>
          <cell r="BX157">
            <v>1.1053152E-4</v>
          </cell>
          <cell r="BY157">
            <v>1.1053152E-4</v>
          </cell>
        </row>
        <row r="158">
          <cell r="H158" t="str">
            <v>Veículo pesado a GNV</v>
          </cell>
          <cell r="I158">
            <v>1.9990000000000001</v>
          </cell>
          <cell r="J158">
            <v>1.9990000000000001</v>
          </cell>
          <cell r="K158">
            <v>1.9990000000000001</v>
          </cell>
          <cell r="L158">
            <v>1.9990000000000001</v>
          </cell>
          <cell r="M158">
            <v>1.9990000000000001</v>
          </cell>
          <cell r="N158">
            <v>1.9990000000000001</v>
          </cell>
          <cell r="O158">
            <v>1.9990000000000001</v>
          </cell>
          <cell r="P158">
            <v>1.9990000000000001</v>
          </cell>
          <cell r="Q158">
            <v>1.9990000000000001</v>
          </cell>
          <cell r="R158">
            <v>1.9990000000000001</v>
          </cell>
          <cell r="S158">
            <v>1.9990000000000001</v>
          </cell>
          <cell r="T158">
            <v>1.9990000000000001</v>
          </cell>
          <cell r="U158">
            <v>1.9990000000000001</v>
          </cell>
          <cell r="V158">
            <v>1.9990000000000001</v>
          </cell>
          <cell r="W158">
            <v>1.9990000000000001</v>
          </cell>
          <cell r="X158">
            <v>1.9990000000000001</v>
          </cell>
          <cell r="Y158">
            <v>1.9990000000000001</v>
          </cell>
          <cell r="Z158">
            <v>1.9990000000000001</v>
          </cell>
          <cell r="AA158">
            <v>1.9990000000000001</v>
          </cell>
          <cell r="AB158">
            <v>1.9990000000000001</v>
          </cell>
          <cell r="AC158">
            <v>1.9990000000000001</v>
          </cell>
          <cell r="AD158">
            <v>1.9990000000000001</v>
          </cell>
          <cell r="AE158">
            <v>1.9990000000000001</v>
          </cell>
          <cell r="AF158">
            <v>3.3896332800000002E-3</v>
          </cell>
          <cell r="AG158">
            <v>3.3896332800000002E-3</v>
          </cell>
          <cell r="AH158">
            <v>3.3896332800000002E-3</v>
          </cell>
          <cell r="AI158">
            <v>3.3896332800000002E-3</v>
          </cell>
          <cell r="AJ158">
            <v>3.3896332800000002E-3</v>
          </cell>
          <cell r="AK158">
            <v>3.3896332800000002E-3</v>
          </cell>
          <cell r="AL158">
            <v>3.3896332800000002E-3</v>
          </cell>
          <cell r="AM158">
            <v>3.3896332800000002E-3</v>
          </cell>
          <cell r="AN158">
            <v>3.3896332800000002E-3</v>
          </cell>
          <cell r="AO158">
            <v>3.3896332800000002E-3</v>
          </cell>
          <cell r="AP158">
            <v>3.3896332800000002E-3</v>
          </cell>
          <cell r="AQ158">
            <v>3.3896332800000002E-3</v>
          </cell>
          <cell r="AR158">
            <v>3.3896332800000002E-3</v>
          </cell>
          <cell r="AS158">
            <v>3.3896332800000002E-3</v>
          </cell>
          <cell r="AT158">
            <v>3.3896332800000002E-3</v>
          </cell>
          <cell r="AU158">
            <v>3.3896332800000002E-3</v>
          </cell>
          <cell r="AV158">
            <v>3.3896332800000002E-3</v>
          </cell>
          <cell r="AW158">
            <v>3.3896332800000002E-3</v>
          </cell>
          <cell r="AX158">
            <v>3.3896332800000002E-3</v>
          </cell>
          <cell r="AY158">
            <v>3.3896332800000002E-3</v>
          </cell>
          <cell r="AZ158">
            <v>3.3896332800000002E-3</v>
          </cell>
          <cell r="BA158">
            <v>3.3896332800000002E-3</v>
          </cell>
          <cell r="BB158">
            <v>3.3896332800000002E-3</v>
          </cell>
          <cell r="BC158">
            <v>1.1053152E-4</v>
          </cell>
          <cell r="BD158">
            <v>1.1053152E-4</v>
          </cell>
          <cell r="BE158">
            <v>1.1053152E-4</v>
          </cell>
          <cell r="BF158">
            <v>1.1053152E-4</v>
          </cell>
          <cell r="BG158">
            <v>1.1053152E-4</v>
          </cell>
          <cell r="BH158">
            <v>1.1053152E-4</v>
          </cell>
          <cell r="BI158">
            <v>1.1053152E-4</v>
          </cell>
          <cell r="BJ158">
            <v>1.1053152E-4</v>
          </cell>
          <cell r="BK158">
            <v>1.1053152E-4</v>
          </cell>
          <cell r="BL158">
            <v>1.1053152E-4</v>
          </cell>
          <cell r="BM158">
            <v>1.1053152E-4</v>
          </cell>
          <cell r="BN158">
            <v>1.1053152E-4</v>
          </cell>
          <cell r="BO158">
            <v>1.1053152E-4</v>
          </cell>
          <cell r="BP158">
            <v>1.1053152E-4</v>
          </cell>
          <cell r="BQ158">
            <v>1.1053152E-4</v>
          </cell>
          <cell r="BR158">
            <v>1.1053152E-4</v>
          </cell>
          <cell r="BS158">
            <v>1.1053152E-4</v>
          </cell>
          <cell r="BT158">
            <v>1.1053152E-4</v>
          </cell>
          <cell r="BU158">
            <v>1.1053152E-4</v>
          </cell>
          <cell r="BV158">
            <v>1.1053152E-4</v>
          </cell>
          <cell r="BW158">
            <v>1.1053152E-4</v>
          </cell>
          <cell r="BX158">
            <v>1.1053152E-4</v>
          </cell>
          <cell r="BY158">
            <v>1.1053152E-4</v>
          </cell>
        </row>
        <row r="159">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H161" t="str">
            <v>Tipo de Veículo</v>
          </cell>
          <cell r="I161" t="str">
            <v>Fatores de Emissão</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t="str">
            <v>Fatores de Emissão</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t="str">
            <v>Fatores de Emissão</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H162">
            <v>0</v>
          </cell>
          <cell r="I162" t="str">
            <v>CO2 (kg/un.)</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t="str">
            <v>CH4 (kg/un.)</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t="str">
            <v>N2O (kg/un.)</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H163">
            <v>0</v>
          </cell>
          <cell r="I163">
            <v>1990</v>
          </cell>
          <cell r="J163">
            <v>1991</v>
          </cell>
          <cell r="K163">
            <v>1992</v>
          </cell>
          <cell r="L163">
            <v>1993</v>
          </cell>
          <cell r="M163">
            <v>1994</v>
          </cell>
          <cell r="N163">
            <v>1995</v>
          </cell>
          <cell r="O163">
            <v>1996</v>
          </cell>
          <cell r="P163">
            <v>1997</v>
          </cell>
          <cell r="Q163">
            <v>1998</v>
          </cell>
          <cell r="R163">
            <v>1999</v>
          </cell>
          <cell r="S163">
            <v>2000</v>
          </cell>
          <cell r="T163">
            <v>2001</v>
          </cell>
          <cell r="U163">
            <v>2002</v>
          </cell>
          <cell r="V163">
            <v>2003</v>
          </cell>
          <cell r="W163">
            <v>2004</v>
          </cell>
          <cell r="X163">
            <v>2005</v>
          </cell>
          <cell r="Y163">
            <v>2006</v>
          </cell>
          <cell r="Z163">
            <v>2007</v>
          </cell>
          <cell r="AA163">
            <v>2008</v>
          </cell>
          <cell r="AB163">
            <v>2009</v>
          </cell>
          <cell r="AC163">
            <v>2010</v>
          </cell>
          <cell r="AD163">
            <v>2011</v>
          </cell>
          <cell r="AE163">
            <v>2012</v>
          </cell>
          <cell r="AF163">
            <v>1990</v>
          </cell>
          <cell r="AG163">
            <v>1991</v>
          </cell>
          <cell r="AH163">
            <v>1992</v>
          </cell>
          <cell r="AI163">
            <v>1993</v>
          </cell>
          <cell r="AJ163">
            <v>1994</v>
          </cell>
          <cell r="AK163">
            <v>1995</v>
          </cell>
          <cell r="AL163">
            <v>1996</v>
          </cell>
          <cell r="AM163">
            <v>1997</v>
          </cell>
          <cell r="AN163">
            <v>1998</v>
          </cell>
          <cell r="AO163">
            <v>1999</v>
          </cell>
          <cell r="AP163">
            <v>2000</v>
          </cell>
          <cell r="AQ163">
            <v>2001</v>
          </cell>
          <cell r="AR163">
            <v>2002</v>
          </cell>
          <cell r="AS163">
            <v>2003</v>
          </cell>
          <cell r="AT163">
            <v>2004</v>
          </cell>
          <cell r="AU163">
            <v>2005</v>
          </cell>
          <cell r="AV163">
            <v>2006</v>
          </cell>
          <cell r="AW163">
            <v>2007</v>
          </cell>
          <cell r="AX163">
            <v>2008</v>
          </cell>
          <cell r="AY163">
            <v>2009</v>
          </cell>
          <cell r="AZ163">
            <v>2010</v>
          </cell>
          <cell r="BA163">
            <v>2011</v>
          </cell>
          <cell r="BB163">
            <v>2012</v>
          </cell>
          <cell r="BC163">
            <v>1990</v>
          </cell>
          <cell r="BD163">
            <v>1991</v>
          </cell>
          <cell r="BE163">
            <v>1992</v>
          </cell>
          <cell r="BF163">
            <v>1993</v>
          </cell>
          <cell r="BG163">
            <v>1994</v>
          </cell>
          <cell r="BH163">
            <v>1995</v>
          </cell>
          <cell r="BI163">
            <v>1996</v>
          </cell>
          <cell r="BJ163">
            <v>1997</v>
          </cell>
          <cell r="BK163">
            <v>1998</v>
          </cell>
          <cell r="BL163">
            <v>1999</v>
          </cell>
          <cell r="BM163">
            <v>2000</v>
          </cell>
          <cell r="BN163">
            <v>2001</v>
          </cell>
          <cell r="BO163">
            <v>2002</v>
          </cell>
          <cell r="BP163">
            <v>2003</v>
          </cell>
          <cell r="BQ163">
            <v>2004</v>
          </cell>
          <cell r="BR163">
            <v>2005</v>
          </cell>
          <cell r="BS163">
            <v>2006</v>
          </cell>
          <cell r="BT163">
            <v>2007</v>
          </cell>
          <cell r="BU163">
            <v>2008</v>
          </cell>
          <cell r="BV163">
            <v>2009</v>
          </cell>
          <cell r="BW163">
            <v>2010</v>
          </cell>
          <cell r="BX163">
            <v>2011</v>
          </cell>
          <cell r="BY163">
            <v>2012</v>
          </cell>
        </row>
        <row r="164">
          <cell r="H164" t="str">
            <v>Veículo de passeio a etanol</v>
          </cell>
          <cell r="I164">
            <v>1.1779999999999999</v>
          </cell>
          <cell r="J164">
            <v>1.1779999999999999</v>
          </cell>
          <cell r="K164">
            <v>1.1779999999999999</v>
          </cell>
          <cell r="L164">
            <v>1.1779999999999999</v>
          </cell>
          <cell r="M164">
            <v>1.1779999999999999</v>
          </cell>
          <cell r="N164">
            <v>1.1779999999999999</v>
          </cell>
          <cell r="O164">
            <v>1.1779999999999999</v>
          </cell>
          <cell r="P164">
            <v>1.1779999999999999</v>
          </cell>
          <cell r="Q164">
            <v>1.1779999999999999</v>
          </cell>
          <cell r="R164">
            <v>1.1779999999999999</v>
          </cell>
          <cell r="S164">
            <v>1.1779999999999999</v>
          </cell>
          <cell r="T164">
            <v>1.1779999999999999</v>
          </cell>
          <cell r="U164">
            <v>1.1779999999999999</v>
          </cell>
          <cell r="V164">
            <v>1.1779999999999999</v>
          </cell>
          <cell r="W164">
            <v>1.1779999999999999</v>
          </cell>
          <cell r="X164">
            <v>1.1779999999999999</v>
          </cell>
          <cell r="Y164">
            <v>1.1779999999999999</v>
          </cell>
          <cell r="Z164">
            <v>1.1779999999999999</v>
          </cell>
          <cell r="AA164">
            <v>1.1779999999999999</v>
          </cell>
          <cell r="AB164">
            <v>1.1779999999999999</v>
          </cell>
          <cell r="AC164">
            <v>1.1779999999999999</v>
          </cell>
          <cell r="AD164">
            <v>1.1779999999999999</v>
          </cell>
          <cell r="AE164">
            <v>1.1779999999999999</v>
          </cell>
          <cell r="AF164">
            <v>1.5790759034400002E-4</v>
          </cell>
          <cell r="AG164">
            <v>1.5790759034400002E-4</v>
          </cell>
          <cell r="AH164">
            <v>1.5577370398800003E-4</v>
          </cell>
          <cell r="AI164">
            <v>1.5150593127599999E-4</v>
          </cell>
          <cell r="AJ164">
            <v>1.4937204492E-4</v>
          </cell>
          <cell r="AK164">
            <v>1.4723815856400001E-4</v>
          </cell>
          <cell r="AL164">
            <v>1.4723815856400001E-4</v>
          </cell>
          <cell r="AM164">
            <v>1.4723815856400001E-4</v>
          </cell>
          <cell r="AN164">
            <v>1.4723815856400001E-4</v>
          </cell>
          <cell r="AO164">
            <v>1.4723815856400001E-4</v>
          </cell>
          <cell r="AP164">
            <v>1.4723815856400001E-4</v>
          </cell>
          <cell r="AQ164">
            <v>1.4510427220800002E-4</v>
          </cell>
          <cell r="AR164">
            <v>1.4510427220800002E-4</v>
          </cell>
          <cell r="AS164">
            <v>1.4083649949600001E-4</v>
          </cell>
          <cell r="AT164">
            <v>1.4083649949600001E-4</v>
          </cell>
          <cell r="AU164">
            <v>1.0029265873200001E-4</v>
          </cell>
          <cell r="AV164">
            <v>1.0029265873200001E-4</v>
          </cell>
          <cell r="AW164">
            <v>1.0029265873200001E-4</v>
          </cell>
          <cell r="AX164">
            <v>1.0029265873200001E-4</v>
          </cell>
          <cell r="AY164">
            <v>1.0029265873200001E-4</v>
          </cell>
          <cell r="AZ164">
            <v>1.0029265873200001E-4</v>
          </cell>
          <cell r="BA164">
            <v>1.0029265873200001E-4</v>
          </cell>
          <cell r="BB164">
            <v>1.0029265873200001E-4</v>
          </cell>
          <cell r="BC164">
            <v>4.2677727120000005E-5</v>
          </cell>
          <cell r="BD164">
            <v>4.2677727120000005E-5</v>
          </cell>
          <cell r="BE164">
            <v>4.2677727120000005E-5</v>
          </cell>
          <cell r="BF164">
            <v>4.2677727120000005E-5</v>
          </cell>
          <cell r="BG164">
            <v>4.2677727120000005E-5</v>
          </cell>
          <cell r="BH164">
            <v>4.2677727120000005E-5</v>
          </cell>
          <cell r="BI164">
            <v>4.2677727120000005E-5</v>
          </cell>
          <cell r="BJ164">
            <v>4.2677727120000005E-5</v>
          </cell>
          <cell r="BK164">
            <v>4.2677727120000005E-5</v>
          </cell>
          <cell r="BL164">
            <v>4.2677727120000005E-5</v>
          </cell>
          <cell r="BM164">
            <v>4.2677727120000005E-5</v>
          </cell>
          <cell r="BN164">
            <v>4.2677727120000005E-5</v>
          </cell>
          <cell r="BO164">
            <v>4.2677727120000005E-5</v>
          </cell>
          <cell r="BP164">
            <v>4.2464338484400006E-5</v>
          </cell>
          <cell r="BQ164">
            <v>4.0543840764000007E-5</v>
          </cell>
          <cell r="BR164">
            <v>3.6276068052000006E-5</v>
          </cell>
          <cell r="BS164">
            <v>3.6276068052000006E-5</v>
          </cell>
          <cell r="BT164">
            <v>3.6276068052000006E-5</v>
          </cell>
          <cell r="BU164">
            <v>3.6276068052000006E-5</v>
          </cell>
          <cell r="BV164">
            <v>3.6276068052000006E-5</v>
          </cell>
          <cell r="BW164">
            <v>3.6276068052000006E-5</v>
          </cell>
          <cell r="BX164">
            <v>3.6276068052000006E-5</v>
          </cell>
          <cell r="BY164">
            <v>3.6276068052000006E-5</v>
          </cell>
        </row>
        <row r="165">
          <cell r="H165" t="str">
            <v>Veículo de passeio flex a etanol</v>
          </cell>
          <cell r="I165" t="str">
            <v>-</v>
          </cell>
          <cell r="J165" t="str">
            <v>-</v>
          </cell>
          <cell r="K165" t="str">
            <v>-</v>
          </cell>
          <cell r="L165" t="str">
            <v>-</v>
          </cell>
          <cell r="M165" t="str">
            <v>-</v>
          </cell>
          <cell r="N165" t="str">
            <v>-</v>
          </cell>
          <cell r="O165" t="str">
            <v>-</v>
          </cell>
          <cell r="P165" t="str">
            <v>-</v>
          </cell>
          <cell r="Q165" t="str">
            <v>-</v>
          </cell>
          <cell r="R165" t="str">
            <v>-</v>
          </cell>
          <cell r="S165" t="str">
            <v>-</v>
          </cell>
          <cell r="T165" t="str">
            <v>-</v>
          </cell>
          <cell r="U165" t="str">
            <v>-</v>
          </cell>
          <cell r="V165">
            <v>1.1779999999999999</v>
          </cell>
          <cell r="W165">
            <v>1.1779999999999999</v>
          </cell>
          <cell r="X165">
            <v>1.1779999999999999</v>
          </cell>
          <cell r="Y165">
            <v>1.1779999999999999</v>
          </cell>
          <cell r="Z165">
            <v>1.1779999999999999</v>
          </cell>
          <cell r="AA165">
            <v>1.1779999999999999</v>
          </cell>
          <cell r="AB165">
            <v>1.1779999999999999</v>
          </cell>
          <cell r="AC165">
            <v>1.1779999999999999</v>
          </cell>
          <cell r="AD165">
            <v>1.1779999999999999</v>
          </cell>
          <cell r="AE165">
            <v>1.1779999999999999</v>
          </cell>
          <cell r="AF165" t="str">
            <v>-</v>
          </cell>
          <cell r="AG165" t="str">
            <v>-</v>
          </cell>
          <cell r="AH165" t="str">
            <v>-</v>
          </cell>
          <cell r="AI165" t="str">
            <v>-</v>
          </cell>
          <cell r="AJ165" t="str">
            <v>-</v>
          </cell>
          <cell r="AK165" t="str">
            <v>-</v>
          </cell>
          <cell r="AL165" t="str">
            <v>-</v>
          </cell>
          <cell r="AM165" t="str">
            <v>-</v>
          </cell>
          <cell r="AN165" t="str">
            <v>-</v>
          </cell>
          <cell r="AO165" t="str">
            <v>-</v>
          </cell>
          <cell r="AP165" t="str">
            <v>-</v>
          </cell>
          <cell r="AQ165" t="str">
            <v>-</v>
          </cell>
          <cell r="AR165" t="str">
            <v>-</v>
          </cell>
          <cell r="AS165">
            <v>1.4083649949600001E-4</v>
          </cell>
          <cell r="AT165">
            <v>1.4083649949600001E-4</v>
          </cell>
          <cell r="AU165">
            <v>1.0029265873200001E-4</v>
          </cell>
          <cell r="AV165">
            <v>1.0029265873200001E-4</v>
          </cell>
          <cell r="AW165">
            <v>1.0029265873200001E-4</v>
          </cell>
          <cell r="AX165">
            <v>1.0029265873200001E-4</v>
          </cell>
          <cell r="AY165">
            <v>1.0029265873200001E-4</v>
          </cell>
          <cell r="AZ165">
            <v>1.0029265873200001E-4</v>
          </cell>
          <cell r="BA165">
            <v>1.0029265873200001E-4</v>
          </cell>
          <cell r="BB165">
            <v>1.0029265873200001E-4</v>
          </cell>
          <cell r="BC165" t="str">
            <v>-</v>
          </cell>
          <cell r="BD165" t="str">
            <v>-</v>
          </cell>
          <cell r="BE165" t="str">
            <v>-</v>
          </cell>
          <cell r="BF165" t="str">
            <v>-</v>
          </cell>
          <cell r="BG165" t="str">
            <v>-</v>
          </cell>
          <cell r="BH165" t="str">
            <v>-</v>
          </cell>
          <cell r="BI165" t="str">
            <v>-</v>
          </cell>
          <cell r="BJ165" t="str">
            <v>-</v>
          </cell>
          <cell r="BK165" t="str">
            <v>-</v>
          </cell>
          <cell r="BL165" t="str">
            <v>-</v>
          </cell>
          <cell r="BM165" t="str">
            <v>-</v>
          </cell>
          <cell r="BN165" t="str">
            <v>-</v>
          </cell>
          <cell r="BO165" t="str">
            <v>-</v>
          </cell>
          <cell r="BP165">
            <v>4.2464338484400006E-5</v>
          </cell>
          <cell r="BQ165">
            <v>4.0543840764000007E-5</v>
          </cell>
          <cell r="BR165">
            <v>3.6276068052000006E-5</v>
          </cell>
          <cell r="BS165">
            <v>3.6276068052000006E-5</v>
          </cell>
          <cell r="BT165">
            <v>3.6276068052000006E-5</v>
          </cell>
          <cell r="BU165">
            <v>3.6276068052000006E-5</v>
          </cell>
          <cell r="BV165">
            <v>3.6276068052000006E-5</v>
          </cell>
          <cell r="BW165">
            <v>3.6276068052000006E-5</v>
          </cell>
          <cell r="BX165">
            <v>3.6276068052000006E-5</v>
          </cell>
          <cell r="BY165">
            <v>3.6276068052000006E-5</v>
          </cell>
        </row>
        <row r="166">
          <cell r="H166" t="str">
            <v>Motocicletas flex a etanol</v>
          </cell>
          <cell r="I166" t="str">
            <v>-</v>
          </cell>
          <cell r="J166" t="str">
            <v>-</v>
          </cell>
          <cell r="K166" t="str">
            <v>-</v>
          </cell>
          <cell r="L166" t="str">
            <v>-</v>
          </cell>
          <cell r="M166" t="str">
            <v>-</v>
          </cell>
          <cell r="N166" t="str">
            <v>-</v>
          </cell>
          <cell r="O166" t="str">
            <v>-</v>
          </cell>
          <cell r="P166" t="str">
            <v>-</v>
          </cell>
          <cell r="Q166" t="str">
            <v>-</v>
          </cell>
          <cell r="R166" t="str">
            <v>-</v>
          </cell>
          <cell r="S166" t="str">
            <v>-</v>
          </cell>
          <cell r="T166" t="str">
            <v>-</v>
          </cell>
          <cell r="U166" t="str">
            <v>-</v>
          </cell>
          <cell r="V166" t="str">
            <v>-</v>
          </cell>
          <cell r="W166" t="str">
            <v>-</v>
          </cell>
          <cell r="X166" t="str">
            <v>-</v>
          </cell>
          <cell r="Y166" t="str">
            <v>-</v>
          </cell>
          <cell r="Z166">
            <v>1.1779999999999999</v>
          </cell>
          <cell r="AA166">
            <v>1.1779999999999999</v>
          </cell>
          <cell r="AB166">
            <v>1.1779999999999999</v>
          </cell>
          <cell r="AC166">
            <v>1.1779999999999999</v>
          </cell>
          <cell r="AD166">
            <v>1.1779999999999999</v>
          </cell>
          <cell r="AE166">
            <v>1.1779999999999999</v>
          </cell>
          <cell r="AF166" t="str">
            <v>-</v>
          </cell>
          <cell r="AG166" t="str">
            <v>-</v>
          </cell>
          <cell r="AH166" t="str">
            <v>-</v>
          </cell>
          <cell r="AI166" t="str">
            <v>-</v>
          </cell>
          <cell r="AJ166" t="str">
            <v>-</v>
          </cell>
          <cell r="AK166" t="str">
            <v>-</v>
          </cell>
          <cell r="AL166" t="str">
            <v>-</v>
          </cell>
          <cell r="AM166" t="str">
            <v>-</v>
          </cell>
          <cell r="AN166" t="str">
            <v>-</v>
          </cell>
          <cell r="AO166" t="str">
            <v>-</v>
          </cell>
          <cell r="AP166" t="str">
            <v>-</v>
          </cell>
          <cell r="AQ166" t="str">
            <v>-</v>
          </cell>
          <cell r="AR166" t="str">
            <v>-</v>
          </cell>
          <cell r="AS166" t="str">
            <v>-</v>
          </cell>
          <cell r="AT166" t="str">
            <v>-</v>
          </cell>
          <cell r="AU166" t="str">
            <v>-</v>
          </cell>
          <cell r="AV166" t="str">
            <v>-</v>
          </cell>
          <cell r="AW166">
            <v>3.8409954408000002E-4</v>
          </cell>
          <cell r="AX166">
            <v>3.8409954408000002E-4</v>
          </cell>
          <cell r="AY166">
            <v>3.8409954408000002E-4</v>
          </cell>
          <cell r="AZ166">
            <v>3.8409954408000002E-4</v>
          </cell>
          <cell r="BA166">
            <v>3.8409954408000002E-4</v>
          </cell>
          <cell r="BB166">
            <v>3.8409954408000002E-4</v>
          </cell>
          <cell r="BC166" t="str">
            <v>-</v>
          </cell>
          <cell r="BD166" t="str">
            <v>-</v>
          </cell>
          <cell r="BE166" t="str">
            <v>-</v>
          </cell>
          <cell r="BF166" t="str">
            <v>-</v>
          </cell>
          <cell r="BG166" t="str">
            <v>-</v>
          </cell>
          <cell r="BH166" t="str">
            <v>-</v>
          </cell>
          <cell r="BI166" t="str">
            <v>-</v>
          </cell>
          <cell r="BJ166" t="str">
            <v>-</v>
          </cell>
          <cell r="BK166" t="str">
            <v>-</v>
          </cell>
          <cell r="BL166" t="str">
            <v>-</v>
          </cell>
          <cell r="BM166" t="str">
            <v>-</v>
          </cell>
          <cell r="BN166" t="str">
            <v>-</v>
          </cell>
          <cell r="BO166" t="str">
            <v>-</v>
          </cell>
          <cell r="BP166" t="str">
            <v>-</v>
          </cell>
          <cell r="BQ166" t="str">
            <v>-</v>
          </cell>
          <cell r="BR166" t="str">
            <v>-</v>
          </cell>
          <cell r="BS166" t="str">
            <v>-</v>
          </cell>
          <cell r="BT166" t="str">
            <v>-</v>
          </cell>
          <cell r="BU166" t="str">
            <v>-</v>
          </cell>
          <cell r="BV166" t="str">
            <v>-</v>
          </cell>
          <cell r="BW166" t="str">
            <v>-</v>
          </cell>
          <cell r="BX166" t="str">
            <v>-</v>
          </cell>
          <cell r="BY166" t="str">
            <v>-</v>
          </cell>
        </row>
        <row r="167">
          <cell r="H167" t="str">
            <v>Veículo comercial leve a etanol</v>
          </cell>
          <cell r="I167">
            <v>1.1779999999999999</v>
          </cell>
          <cell r="J167">
            <v>1.1779999999999999</v>
          </cell>
          <cell r="K167">
            <v>1.1779999999999999</v>
          </cell>
          <cell r="L167">
            <v>1.1779999999999999</v>
          </cell>
          <cell r="M167">
            <v>1.1779999999999999</v>
          </cell>
          <cell r="N167">
            <v>1.1779999999999999</v>
          </cell>
          <cell r="O167">
            <v>1.1779999999999999</v>
          </cell>
          <cell r="P167">
            <v>1.1779999999999999</v>
          </cell>
          <cell r="Q167">
            <v>1.1779999999999999</v>
          </cell>
          <cell r="R167">
            <v>1.1779999999999999</v>
          </cell>
          <cell r="S167">
            <v>1.1779999999999999</v>
          </cell>
          <cell r="T167">
            <v>1.1779999999999999</v>
          </cell>
          <cell r="U167">
            <v>1.1779999999999999</v>
          </cell>
          <cell r="V167">
            <v>1.1779999999999999</v>
          </cell>
          <cell r="W167">
            <v>1.1779999999999999</v>
          </cell>
          <cell r="X167">
            <v>1.1779999999999999</v>
          </cell>
          <cell r="Y167">
            <v>1.1779999999999999</v>
          </cell>
          <cell r="Z167">
            <v>1.1779999999999999</v>
          </cell>
          <cell r="AA167">
            <v>1.1779999999999999</v>
          </cell>
          <cell r="AB167">
            <v>1.1779999999999999</v>
          </cell>
          <cell r="AC167">
            <v>1.1779999999999999</v>
          </cell>
          <cell r="AD167">
            <v>1.1779999999999999</v>
          </cell>
          <cell r="AE167">
            <v>1.1779999999999999</v>
          </cell>
          <cell r="AF167">
            <v>1.5790759034400002E-4</v>
          </cell>
          <cell r="AG167">
            <v>1.5790759034400002E-4</v>
          </cell>
          <cell r="AH167">
            <v>1.5363981763200004E-4</v>
          </cell>
          <cell r="AI167">
            <v>1.4937204492E-4</v>
          </cell>
          <cell r="AJ167">
            <v>1.4510427220800002E-4</v>
          </cell>
          <cell r="AK167">
            <v>1.42970385852E-4</v>
          </cell>
          <cell r="AL167">
            <v>1.42970385852E-4</v>
          </cell>
          <cell r="AM167">
            <v>1.42970385852E-4</v>
          </cell>
          <cell r="AN167">
            <v>1.4083649949600001E-4</v>
          </cell>
          <cell r="AO167">
            <v>1.4083649949600001E-4</v>
          </cell>
          <cell r="AP167">
            <v>1.4083649949600001E-4</v>
          </cell>
          <cell r="AQ167">
            <v>1.3870261314000002E-4</v>
          </cell>
          <cell r="AR167">
            <v>1.36568726784E-4</v>
          </cell>
          <cell r="AS167">
            <v>1.3230095407200002E-4</v>
          </cell>
          <cell r="AT167">
            <v>1.2163152229200002E-4</v>
          </cell>
          <cell r="AU167">
            <v>1.02426545088E-4</v>
          </cell>
          <cell r="AV167">
            <v>1.02426545088E-4</v>
          </cell>
          <cell r="AW167">
            <v>1.02426545088E-4</v>
          </cell>
          <cell r="AX167">
            <v>1.02426545088E-4</v>
          </cell>
          <cell r="AY167">
            <v>1.02426545088E-4</v>
          </cell>
          <cell r="AZ167">
            <v>1.02426545088E-4</v>
          </cell>
          <cell r="BA167">
            <v>1.02426545088E-4</v>
          </cell>
          <cell r="BB167">
            <v>1.02426545088E-4</v>
          </cell>
          <cell r="BC167">
            <v>4.2677727120000005E-5</v>
          </cell>
          <cell r="BD167">
            <v>4.2677727120000005E-5</v>
          </cell>
          <cell r="BE167">
            <v>4.2677727120000005E-5</v>
          </cell>
          <cell r="BF167">
            <v>4.2677727120000005E-5</v>
          </cell>
          <cell r="BG167">
            <v>4.2677727120000005E-5</v>
          </cell>
          <cell r="BH167">
            <v>4.2677727120000005E-5</v>
          </cell>
          <cell r="BI167">
            <v>4.2677727120000005E-5</v>
          </cell>
          <cell r="BJ167">
            <v>4.2677727120000005E-5</v>
          </cell>
          <cell r="BK167">
            <v>4.2677727120000005E-5</v>
          </cell>
          <cell r="BL167">
            <v>4.2677727120000005E-5</v>
          </cell>
          <cell r="BM167">
            <v>4.2677727120000005E-5</v>
          </cell>
          <cell r="BN167">
            <v>4.2677727120000005E-5</v>
          </cell>
          <cell r="BO167">
            <v>4.2677727120000005E-5</v>
          </cell>
          <cell r="BP167">
            <v>4.2677727120000005E-5</v>
          </cell>
          <cell r="BQ167">
            <v>4.2677727120000005E-5</v>
          </cell>
          <cell r="BR167">
            <v>4.2677727120000005E-5</v>
          </cell>
          <cell r="BS167">
            <v>4.2677727120000005E-5</v>
          </cell>
          <cell r="BT167">
            <v>4.2677727120000005E-5</v>
          </cell>
          <cell r="BU167">
            <v>4.2677727120000005E-5</v>
          </cell>
          <cell r="BV167">
            <v>4.2677727120000005E-5</v>
          </cell>
          <cell r="BW167">
            <v>4.2677727120000005E-5</v>
          </cell>
          <cell r="BX167">
            <v>4.2677727120000005E-5</v>
          </cell>
          <cell r="BY167">
            <v>4.2677727120000005E-5</v>
          </cell>
        </row>
        <row r="168">
          <cell r="H168" t="str">
            <v>Caminhão leve a etanol</v>
          </cell>
          <cell r="I168">
            <v>1.1779999999999999</v>
          </cell>
          <cell r="J168">
            <v>1.1779999999999999</v>
          </cell>
          <cell r="K168">
            <v>1.1779999999999999</v>
          </cell>
          <cell r="L168">
            <v>1.1779999999999999</v>
          </cell>
          <cell r="M168">
            <v>1.1779999999999999</v>
          </cell>
          <cell r="N168">
            <v>1.1779999999999999</v>
          </cell>
          <cell r="O168">
            <v>1.1779999999999999</v>
          </cell>
          <cell r="P168">
            <v>1.1779999999999999</v>
          </cell>
          <cell r="Q168">
            <v>1.1779999999999999</v>
          </cell>
          <cell r="R168">
            <v>1.1779999999999999</v>
          </cell>
          <cell r="S168">
            <v>1.1779999999999999</v>
          </cell>
          <cell r="T168">
            <v>1.1779999999999999</v>
          </cell>
          <cell r="U168">
            <v>1.1779999999999999</v>
          </cell>
          <cell r="V168">
            <v>1.1779999999999999</v>
          </cell>
          <cell r="W168">
            <v>1.1779999999999999</v>
          </cell>
          <cell r="X168">
            <v>1.1779999999999999</v>
          </cell>
          <cell r="Y168">
            <v>1.1779999999999999</v>
          </cell>
          <cell r="Z168">
            <v>1.1779999999999999</v>
          </cell>
          <cell r="AA168">
            <v>1.1779999999999999</v>
          </cell>
          <cell r="AB168">
            <v>1.1779999999999999</v>
          </cell>
          <cell r="AC168">
            <v>1.1779999999999999</v>
          </cell>
          <cell r="AD168">
            <v>1.1779999999999999</v>
          </cell>
          <cell r="AE168">
            <v>1.1779999999999999</v>
          </cell>
          <cell r="AF168">
            <v>1.5790759034400002E-4</v>
          </cell>
          <cell r="AG168">
            <v>1.5790759034400002E-4</v>
          </cell>
          <cell r="AH168">
            <v>1.5790759034400002E-4</v>
          </cell>
          <cell r="AI168">
            <v>1.5790759034400002E-4</v>
          </cell>
          <cell r="AJ168">
            <v>1.5790759034400002E-4</v>
          </cell>
          <cell r="AK168">
            <v>1.5790759034400002E-4</v>
          </cell>
          <cell r="AL168">
            <v>1.5790759034400002E-4</v>
          </cell>
          <cell r="AM168">
            <v>1.5790759034400002E-4</v>
          </cell>
          <cell r="AN168">
            <v>1.5790759034400002E-4</v>
          </cell>
          <cell r="AO168">
            <v>1.5790759034400002E-4</v>
          </cell>
          <cell r="AP168">
            <v>1.5790759034400002E-4</v>
          </cell>
          <cell r="AQ168">
            <v>1.5790759034400002E-4</v>
          </cell>
          <cell r="AR168">
            <v>1.5790759034400002E-4</v>
          </cell>
          <cell r="AS168">
            <v>1.5790759034400002E-4</v>
          </cell>
          <cell r="AT168">
            <v>1.5790759034400002E-4</v>
          </cell>
          <cell r="AU168">
            <v>1.5790759034400002E-4</v>
          </cell>
          <cell r="AV168">
            <v>1.5790759034400002E-4</v>
          </cell>
          <cell r="AW168">
            <v>1.5790759034400002E-4</v>
          </cell>
          <cell r="AX168">
            <v>1.5790759034400002E-4</v>
          </cell>
          <cell r="AY168">
            <v>1.5790759034400002E-4</v>
          </cell>
          <cell r="AZ168">
            <v>1.5790759034400002E-4</v>
          </cell>
          <cell r="BA168">
            <v>1.5790759034400002E-4</v>
          </cell>
          <cell r="BB168">
            <v>1.5790759034400002E-4</v>
          </cell>
          <cell r="BC168">
            <v>4.2677727120000005E-5</v>
          </cell>
          <cell r="BD168">
            <v>4.2677727120000005E-5</v>
          </cell>
          <cell r="BE168">
            <v>4.2677727120000005E-5</v>
          </cell>
          <cell r="BF168">
            <v>4.2677727120000005E-5</v>
          </cell>
          <cell r="BG168">
            <v>4.2677727120000005E-5</v>
          </cell>
          <cell r="BH168">
            <v>4.2677727120000005E-5</v>
          </cell>
          <cell r="BI168">
            <v>4.2677727120000005E-5</v>
          </cell>
          <cell r="BJ168">
            <v>4.2677727120000005E-5</v>
          </cell>
          <cell r="BK168">
            <v>4.2677727120000005E-5</v>
          </cell>
          <cell r="BL168">
            <v>4.2677727120000005E-5</v>
          </cell>
          <cell r="BM168">
            <v>4.2677727120000005E-5</v>
          </cell>
          <cell r="BN168">
            <v>4.2677727120000005E-5</v>
          </cell>
          <cell r="BO168">
            <v>4.2677727120000005E-5</v>
          </cell>
          <cell r="BP168">
            <v>4.2677727120000005E-5</v>
          </cell>
          <cell r="BQ168">
            <v>4.2677727120000005E-5</v>
          </cell>
          <cell r="BR168">
            <v>4.2677727120000005E-5</v>
          </cell>
          <cell r="BS168">
            <v>4.2677727120000005E-5</v>
          </cell>
          <cell r="BT168">
            <v>4.2677727120000005E-5</v>
          </cell>
          <cell r="BU168">
            <v>4.2677727120000005E-5</v>
          </cell>
          <cell r="BV168">
            <v>4.2677727120000005E-5</v>
          </cell>
          <cell r="BW168">
            <v>4.2677727120000005E-5</v>
          </cell>
          <cell r="BX168">
            <v>4.2677727120000005E-5</v>
          </cell>
          <cell r="BY168">
            <v>4.2677727120000005E-5</v>
          </cell>
        </row>
        <row r="169">
          <cell r="H169" t="str">
            <v>Caminhão médio a etanol</v>
          </cell>
          <cell r="I169">
            <v>1.1779999999999999</v>
          </cell>
          <cell r="J169">
            <v>1.1779999999999999</v>
          </cell>
          <cell r="K169">
            <v>1.1779999999999999</v>
          </cell>
          <cell r="L169">
            <v>1.1779999999999999</v>
          </cell>
          <cell r="M169">
            <v>1.1779999999999999</v>
          </cell>
          <cell r="N169">
            <v>1.1779999999999999</v>
          </cell>
          <cell r="O169">
            <v>1.1779999999999999</v>
          </cell>
          <cell r="P169">
            <v>1.1779999999999999</v>
          </cell>
          <cell r="Q169">
            <v>1.1779999999999999</v>
          </cell>
          <cell r="R169">
            <v>1.1779999999999999</v>
          </cell>
          <cell r="S169">
            <v>1.1779999999999999</v>
          </cell>
          <cell r="T169">
            <v>1.1779999999999999</v>
          </cell>
          <cell r="U169">
            <v>1.1779999999999999</v>
          </cell>
          <cell r="V169">
            <v>1.1779999999999999</v>
          </cell>
          <cell r="W169">
            <v>1.1779999999999999</v>
          </cell>
          <cell r="X169">
            <v>1.1779999999999999</v>
          </cell>
          <cell r="Y169">
            <v>1.1779999999999999</v>
          </cell>
          <cell r="Z169">
            <v>1.1779999999999999</v>
          </cell>
          <cell r="AA169">
            <v>1.1779999999999999</v>
          </cell>
          <cell r="AB169">
            <v>1.1779999999999999</v>
          </cell>
          <cell r="AC169">
            <v>1.1779999999999999</v>
          </cell>
          <cell r="AD169">
            <v>1.1779999999999999</v>
          </cell>
          <cell r="AE169">
            <v>1.1779999999999999</v>
          </cell>
          <cell r="AF169">
            <v>1.5790759034400002E-4</v>
          </cell>
          <cell r="AG169">
            <v>1.5790759034400002E-4</v>
          </cell>
          <cell r="AH169">
            <v>1.5790759034400002E-4</v>
          </cell>
          <cell r="AI169">
            <v>1.5790759034400002E-4</v>
          </cell>
          <cell r="AJ169">
            <v>1.5790759034400002E-4</v>
          </cell>
          <cell r="AK169">
            <v>1.5790759034400002E-4</v>
          </cell>
          <cell r="AL169">
            <v>1.5790759034400002E-4</v>
          </cell>
          <cell r="AM169">
            <v>1.5790759034400002E-4</v>
          </cell>
          <cell r="AN169">
            <v>1.5790759034400002E-4</v>
          </cell>
          <cell r="AO169">
            <v>1.5790759034400002E-4</v>
          </cell>
          <cell r="AP169">
            <v>1.5790759034400002E-4</v>
          </cell>
          <cell r="AQ169">
            <v>1.5790759034400002E-4</v>
          </cell>
          <cell r="AR169">
            <v>1.5790759034400002E-4</v>
          </cell>
          <cell r="AS169">
            <v>1.5790759034400002E-4</v>
          </cell>
          <cell r="AT169">
            <v>1.5790759034400002E-4</v>
          </cell>
          <cell r="AU169">
            <v>1.5790759034400002E-4</v>
          </cell>
          <cell r="AV169">
            <v>1.5790759034400002E-4</v>
          </cell>
          <cell r="AW169">
            <v>1.5790759034400002E-4</v>
          </cell>
          <cell r="AX169">
            <v>1.5790759034400002E-4</v>
          </cell>
          <cell r="AY169">
            <v>1.5790759034400002E-4</v>
          </cell>
          <cell r="AZ169">
            <v>1.5790759034400002E-4</v>
          </cell>
          <cell r="BA169">
            <v>1.5790759034400002E-4</v>
          </cell>
          <cell r="BB169">
            <v>1.5790759034400002E-4</v>
          </cell>
          <cell r="BC169">
            <v>4.2677727120000005E-5</v>
          </cell>
          <cell r="BD169">
            <v>4.2677727120000005E-5</v>
          </cell>
          <cell r="BE169">
            <v>4.2677727120000005E-5</v>
          </cell>
          <cell r="BF169">
            <v>4.2677727120000005E-5</v>
          </cell>
          <cell r="BG169">
            <v>4.2677727120000005E-5</v>
          </cell>
          <cell r="BH169">
            <v>4.2677727120000005E-5</v>
          </cell>
          <cell r="BI169">
            <v>4.2677727120000005E-5</v>
          </cell>
          <cell r="BJ169">
            <v>4.2677727120000005E-5</v>
          </cell>
          <cell r="BK169">
            <v>4.2677727120000005E-5</v>
          </cell>
          <cell r="BL169">
            <v>4.2677727120000005E-5</v>
          </cell>
          <cell r="BM169">
            <v>4.2677727120000005E-5</v>
          </cell>
          <cell r="BN169">
            <v>4.2677727120000005E-5</v>
          </cell>
          <cell r="BO169">
            <v>4.2677727120000005E-5</v>
          </cell>
          <cell r="BP169">
            <v>4.2677727120000005E-5</v>
          </cell>
          <cell r="BQ169">
            <v>4.2677727120000005E-5</v>
          </cell>
          <cell r="BR169">
            <v>4.2677727120000005E-5</v>
          </cell>
          <cell r="BS169">
            <v>4.2677727120000005E-5</v>
          </cell>
          <cell r="BT169">
            <v>4.2677727120000005E-5</v>
          </cell>
          <cell r="BU169">
            <v>4.2677727120000005E-5</v>
          </cell>
          <cell r="BV169">
            <v>4.2677727120000005E-5</v>
          </cell>
          <cell r="BW169">
            <v>4.2677727120000005E-5</v>
          </cell>
          <cell r="BX169">
            <v>4.2677727120000005E-5</v>
          </cell>
          <cell r="BY169">
            <v>4.2677727120000005E-5</v>
          </cell>
        </row>
        <row r="170">
          <cell r="H170" t="str">
            <v>Caminhão pesado a etanol</v>
          </cell>
          <cell r="I170">
            <v>1.1779999999999999</v>
          </cell>
          <cell r="J170">
            <v>1.1779999999999999</v>
          </cell>
          <cell r="K170">
            <v>1.1779999999999999</v>
          </cell>
          <cell r="L170">
            <v>1.1779999999999999</v>
          </cell>
          <cell r="M170">
            <v>1.1779999999999999</v>
          </cell>
          <cell r="N170">
            <v>1.1779999999999999</v>
          </cell>
          <cell r="O170">
            <v>1.1779999999999999</v>
          </cell>
          <cell r="P170">
            <v>1.1779999999999999</v>
          </cell>
          <cell r="Q170">
            <v>1.1779999999999999</v>
          </cell>
          <cell r="R170">
            <v>1.1779999999999999</v>
          </cell>
          <cell r="S170">
            <v>1.1779999999999999</v>
          </cell>
          <cell r="T170">
            <v>1.1779999999999999</v>
          </cell>
          <cell r="U170">
            <v>1.1779999999999999</v>
          </cell>
          <cell r="V170">
            <v>1.1779999999999999</v>
          </cell>
          <cell r="W170">
            <v>1.1779999999999999</v>
          </cell>
          <cell r="X170">
            <v>1.1779999999999999</v>
          </cell>
          <cell r="Y170">
            <v>1.1779999999999999</v>
          </cell>
          <cell r="Z170">
            <v>1.1779999999999999</v>
          </cell>
          <cell r="AA170">
            <v>1.1779999999999999</v>
          </cell>
          <cell r="AB170">
            <v>1.1779999999999999</v>
          </cell>
          <cell r="AC170">
            <v>1.1779999999999999</v>
          </cell>
          <cell r="AD170">
            <v>1.1779999999999999</v>
          </cell>
          <cell r="AE170">
            <v>1.1779999999999999</v>
          </cell>
          <cell r="AF170">
            <v>1.5790759034400002E-4</v>
          </cell>
          <cell r="AG170">
            <v>1.5790759034400002E-4</v>
          </cell>
          <cell r="AH170">
            <v>1.5790759034400002E-4</v>
          </cell>
          <cell r="AI170">
            <v>1.5790759034400002E-4</v>
          </cell>
          <cell r="AJ170">
            <v>1.5790759034400002E-4</v>
          </cell>
          <cell r="AK170">
            <v>1.5790759034400002E-4</v>
          </cell>
          <cell r="AL170">
            <v>1.5790759034400002E-4</v>
          </cell>
          <cell r="AM170">
            <v>1.5790759034400002E-4</v>
          </cell>
          <cell r="AN170">
            <v>1.5790759034400002E-4</v>
          </cell>
          <cell r="AO170">
            <v>1.5790759034400002E-4</v>
          </cell>
          <cell r="AP170">
            <v>1.5790759034400002E-4</v>
          </cell>
          <cell r="AQ170">
            <v>1.5790759034400002E-4</v>
          </cell>
          <cell r="AR170">
            <v>1.5790759034400002E-4</v>
          </cell>
          <cell r="AS170">
            <v>1.5790759034400002E-4</v>
          </cell>
          <cell r="AT170">
            <v>1.5790759034400002E-4</v>
          </cell>
          <cell r="AU170">
            <v>1.5790759034400002E-4</v>
          </cell>
          <cell r="AV170">
            <v>1.5790759034400002E-4</v>
          </cell>
          <cell r="AW170">
            <v>1.5790759034400002E-4</v>
          </cell>
          <cell r="AX170">
            <v>1.5790759034400002E-4</v>
          </cell>
          <cell r="AY170">
            <v>1.5790759034400002E-4</v>
          </cell>
          <cell r="AZ170">
            <v>1.5790759034400002E-4</v>
          </cell>
          <cell r="BA170">
            <v>1.5790759034400002E-4</v>
          </cell>
          <cell r="BB170">
            <v>1.5790759034400002E-4</v>
          </cell>
          <cell r="BC170">
            <v>4.2677727120000005E-5</v>
          </cell>
          <cell r="BD170">
            <v>4.2677727120000005E-5</v>
          </cell>
          <cell r="BE170">
            <v>4.2677727120000005E-5</v>
          </cell>
          <cell r="BF170">
            <v>4.2677727120000005E-5</v>
          </cell>
          <cell r="BG170">
            <v>4.2677727120000005E-5</v>
          </cell>
          <cell r="BH170">
            <v>4.2677727120000005E-5</v>
          </cell>
          <cell r="BI170">
            <v>4.2677727120000005E-5</v>
          </cell>
          <cell r="BJ170">
            <v>4.2677727120000005E-5</v>
          </cell>
          <cell r="BK170">
            <v>4.2677727120000005E-5</v>
          </cell>
          <cell r="BL170">
            <v>4.2677727120000005E-5</v>
          </cell>
          <cell r="BM170">
            <v>4.2677727120000005E-5</v>
          </cell>
          <cell r="BN170">
            <v>4.2677727120000005E-5</v>
          </cell>
          <cell r="BO170">
            <v>4.2677727120000005E-5</v>
          </cell>
          <cell r="BP170">
            <v>4.2677727120000005E-5</v>
          </cell>
          <cell r="BQ170">
            <v>4.2677727120000005E-5</v>
          </cell>
          <cell r="BR170">
            <v>4.2677727120000005E-5</v>
          </cell>
          <cell r="BS170">
            <v>4.2677727120000005E-5</v>
          </cell>
          <cell r="BT170">
            <v>4.2677727120000005E-5</v>
          </cell>
          <cell r="BU170">
            <v>4.2677727120000005E-5</v>
          </cell>
          <cell r="BV170">
            <v>4.2677727120000005E-5</v>
          </cell>
          <cell r="BW170">
            <v>4.2677727120000005E-5</v>
          </cell>
          <cell r="BX170">
            <v>4.2677727120000005E-5</v>
          </cell>
          <cell r="BY170">
            <v>4.2677727120000005E-5</v>
          </cell>
        </row>
        <row r="176">
          <cell r="E176">
            <v>1990</v>
          </cell>
          <cell r="F176">
            <v>1991</v>
          </cell>
          <cell r="G176">
            <v>1992</v>
          </cell>
          <cell r="H176">
            <v>1993</v>
          </cell>
          <cell r="I176">
            <v>1994</v>
          </cell>
          <cell r="J176">
            <v>1995</v>
          </cell>
          <cell r="K176">
            <v>1996</v>
          </cell>
          <cell r="L176">
            <v>1997</v>
          </cell>
          <cell r="M176">
            <v>1998</v>
          </cell>
          <cell r="N176">
            <v>1999</v>
          </cell>
          <cell r="O176">
            <v>2000</v>
          </cell>
          <cell r="P176">
            <v>2001</v>
          </cell>
          <cell r="Q176">
            <v>2002</v>
          </cell>
          <cell r="R176">
            <v>2003</v>
          </cell>
          <cell r="S176">
            <v>2004</v>
          </cell>
          <cell r="T176">
            <v>2005</v>
          </cell>
          <cell r="U176">
            <v>2006</v>
          </cell>
          <cell r="V176">
            <v>2007</v>
          </cell>
          <cell r="W176">
            <v>2008</v>
          </cell>
          <cell r="X176">
            <v>2009</v>
          </cell>
          <cell r="Y176">
            <v>2010</v>
          </cell>
          <cell r="Z176">
            <v>2011</v>
          </cell>
          <cell r="AA176">
            <v>2012</v>
          </cell>
        </row>
        <row r="177">
          <cell r="E177">
            <v>3</v>
          </cell>
          <cell r="F177">
            <v>4</v>
          </cell>
          <cell r="G177">
            <v>5</v>
          </cell>
          <cell r="H177">
            <v>6</v>
          </cell>
          <cell r="I177">
            <v>7</v>
          </cell>
          <cell r="J177">
            <v>8</v>
          </cell>
          <cell r="K177">
            <v>9</v>
          </cell>
          <cell r="L177">
            <v>10</v>
          </cell>
          <cell r="M177">
            <v>11</v>
          </cell>
          <cell r="N177">
            <v>12</v>
          </cell>
          <cell r="O177">
            <v>13</v>
          </cell>
          <cell r="P177">
            <v>14</v>
          </cell>
          <cell r="Q177">
            <v>15</v>
          </cell>
          <cell r="R177">
            <v>16</v>
          </cell>
          <cell r="S177">
            <v>17</v>
          </cell>
          <cell r="T177">
            <v>18</v>
          </cell>
          <cell r="U177">
            <v>19</v>
          </cell>
          <cell r="V177">
            <v>20</v>
          </cell>
          <cell r="W177">
            <v>21</v>
          </cell>
          <cell r="X177">
            <v>22</v>
          </cell>
          <cell r="Y177">
            <v>23</v>
          </cell>
          <cell r="Z177">
            <v>24</v>
          </cell>
          <cell r="AA177">
            <v>25</v>
          </cell>
        </row>
        <row r="178">
          <cell r="C178" t="str">
            <v>Veículo de passeio a gasolina</v>
          </cell>
          <cell r="D178" t="str">
            <v>km/Litro</v>
          </cell>
          <cell r="E178">
            <v>11.82</v>
          </cell>
          <cell r="F178">
            <v>11.82</v>
          </cell>
          <cell r="G178">
            <v>10.98</v>
          </cell>
          <cell r="H178">
            <v>10.98</v>
          </cell>
          <cell r="I178">
            <v>10.039999999999999</v>
          </cell>
          <cell r="J178">
            <v>10.039999999999999</v>
          </cell>
          <cell r="K178">
            <v>11.04</v>
          </cell>
          <cell r="L178">
            <v>11.04</v>
          </cell>
          <cell r="M178">
            <v>11.82</v>
          </cell>
          <cell r="N178">
            <v>11.82</v>
          </cell>
          <cell r="O178">
            <v>11.89</v>
          </cell>
          <cell r="P178">
            <v>11.97</v>
          </cell>
          <cell r="Q178">
            <v>10.9</v>
          </cell>
          <cell r="R178">
            <v>11.2</v>
          </cell>
          <cell r="S178">
            <v>11.4</v>
          </cell>
          <cell r="T178">
            <v>11.3</v>
          </cell>
          <cell r="U178">
            <v>11.3</v>
          </cell>
          <cell r="V178">
            <v>11.3</v>
          </cell>
          <cell r="W178">
            <v>9.74</v>
          </cell>
          <cell r="X178">
            <v>9.5</v>
          </cell>
          <cell r="Y178">
            <v>9.5</v>
          </cell>
          <cell r="Z178">
            <v>9.5</v>
          </cell>
          <cell r="AA178">
            <v>9.5</v>
          </cell>
        </row>
        <row r="179">
          <cell r="C179" t="str">
            <v>Veículo de passeio a etanol</v>
          </cell>
          <cell r="D179" t="str">
            <v>km/Litro</v>
          </cell>
          <cell r="E179">
            <v>8.65</v>
          </cell>
          <cell r="F179">
            <v>8.65</v>
          </cell>
          <cell r="G179">
            <v>8.01</v>
          </cell>
          <cell r="H179">
            <v>8.5399999999999991</v>
          </cell>
          <cell r="I179">
            <v>7.54</v>
          </cell>
          <cell r="J179">
            <v>7.54</v>
          </cell>
          <cell r="K179">
            <v>7.17</v>
          </cell>
          <cell r="L179">
            <v>7.17</v>
          </cell>
          <cell r="M179">
            <v>7.41</v>
          </cell>
          <cell r="N179">
            <v>8.01</v>
          </cell>
          <cell r="O179">
            <v>6.96</v>
          </cell>
          <cell r="P179">
            <v>6.96</v>
          </cell>
          <cell r="Q179">
            <v>7.2</v>
          </cell>
          <cell r="R179">
            <v>7.5</v>
          </cell>
          <cell r="S179">
            <v>8.6</v>
          </cell>
          <cell r="T179">
            <v>8.6</v>
          </cell>
          <cell r="U179">
            <v>6.9</v>
          </cell>
          <cell r="V179">
            <v>6.9</v>
          </cell>
          <cell r="W179">
            <v>6.9</v>
          </cell>
          <cell r="X179">
            <v>6.9</v>
          </cell>
          <cell r="Y179">
            <v>6.9</v>
          </cell>
          <cell r="Z179">
            <v>6.9</v>
          </cell>
          <cell r="AA179">
            <v>6.9</v>
          </cell>
        </row>
        <row r="180">
          <cell r="C180" t="str">
            <v>Veículo de passeio a Diesel</v>
          </cell>
          <cell r="D180" t="str">
            <v>km/Litro</v>
          </cell>
          <cell r="E180">
            <v>9.09</v>
          </cell>
          <cell r="F180">
            <v>9.09</v>
          </cell>
          <cell r="G180">
            <v>9.09</v>
          </cell>
          <cell r="H180">
            <v>9.09</v>
          </cell>
          <cell r="I180">
            <v>9.09</v>
          </cell>
          <cell r="J180">
            <v>9.09</v>
          </cell>
          <cell r="K180">
            <v>9.09</v>
          </cell>
          <cell r="L180">
            <v>9.09</v>
          </cell>
          <cell r="M180">
            <v>9.09</v>
          </cell>
          <cell r="N180">
            <v>9.09</v>
          </cell>
          <cell r="O180">
            <v>9.09</v>
          </cell>
          <cell r="P180">
            <v>9.09</v>
          </cell>
          <cell r="Q180">
            <v>9.09</v>
          </cell>
          <cell r="R180">
            <v>9.09</v>
          </cell>
          <cell r="S180">
            <v>9.09</v>
          </cell>
          <cell r="T180">
            <v>9.09</v>
          </cell>
          <cell r="U180">
            <v>9.09</v>
          </cell>
          <cell r="V180">
            <v>9.09</v>
          </cell>
          <cell r="W180">
            <v>9.09</v>
          </cell>
          <cell r="X180">
            <v>9.09</v>
          </cell>
          <cell r="Y180">
            <v>9.09</v>
          </cell>
          <cell r="Z180">
            <v>9.09</v>
          </cell>
          <cell r="AA180">
            <v>9.09</v>
          </cell>
        </row>
        <row r="181">
          <cell r="C181" t="str">
            <v>Veículo de passeio flex a gasolina</v>
          </cell>
          <cell r="D181" t="str">
            <v>km/Litro</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v>10.3</v>
          </cell>
          <cell r="S181">
            <v>10.8</v>
          </cell>
          <cell r="T181">
            <v>11.5</v>
          </cell>
          <cell r="U181">
            <v>11.7</v>
          </cell>
          <cell r="V181">
            <v>11.7</v>
          </cell>
          <cell r="W181">
            <v>11.7</v>
          </cell>
          <cell r="X181">
            <v>12</v>
          </cell>
          <cell r="Y181">
            <v>12</v>
          </cell>
          <cell r="Z181">
            <v>12</v>
          </cell>
          <cell r="AA181">
            <v>12</v>
          </cell>
        </row>
        <row r="182">
          <cell r="C182" t="str">
            <v>Veículo de passeio flex a etanol</v>
          </cell>
          <cell r="D182" t="str">
            <v>km/Litro</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6.9</v>
          </cell>
          <cell r="S182">
            <v>7.3</v>
          </cell>
          <cell r="T182">
            <v>7.7</v>
          </cell>
          <cell r="U182">
            <v>7.8</v>
          </cell>
          <cell r="V182">
            <v>7.8</v>
          </cell>
          <cell r="W182">
            <v>7.38</v>
          </cell>
          <cell r="X182">
            <v>8</v>
          </cell>
          <cell r="Y182">
            <v>8</v>
          </cell>
          <cell r="Z182">
            <v>8</v>
          </cell>
          <cell r="AA182">
            <v>8</v>
          </cell>
        </row>
        <row r="183">
          <cell r="C183" t="str">
            <v>Motocicletas a gasolina</v>
          </cell>
          <cell r="D183" t="str">
            <v>km/Litro</v>
          </cell>
          <cell r="E183">
            <v>40</v>
          </cell>
          <cell r="F183">
            <v>40</v>
          </cell>
          <cell r="G183">
            <v>40</v>
          </cell>
          <cell r="H183">
            <v>40</v>
          </cell>
          <cell r="I183">
            <v>40</v>
          </cell>
          <cell r="J183">
            <v>40</v>
          </cell>
          <cell r="K183">
            <v>40</v>
          </cell>
          <cell r="L183">
            <v>40</v>
          </cell>
          <cell r="M183">
            <v>40</v>
          </cell>
          <cell r="N183">
            <v>40</v>
          </cell>
          <cell r="O183">
            <v>40</v>
          </cell>
          <cell r="P183">
            <v>40</v>
          </cell>
          <cell r="Q183">
            <v>40</v>
          </cell>
          <cell r="R183">
            <v>40</v>
          </cell>
          <cell r="S183">
            <v>40</v>
          </cell>
          <cell r="T183">
            <v>40</v>
          </cell>
          <cell r="U183">
            <v>40</v>
          </cell>
          <cell r="V183">
            <v>40</v>
          </cell>
          <cell r="W183">
            <v>40</v>
          </cell>
          <cell r="X183">
            <v>40</v>
          </cell>
          <cell r="Y183">
            <v>40</v>
          </cell>
          <cell r="Z183">
            <v>40</v>
          </cell>
          <cell r="AA183">
            <v>40</v>
          </cell>
        </row>
        <row r="184">
          <cell r="C184" t="str">
            <v>Motocicletas flex a gasolina</v>
          </cell>
          <cell r="D184" t="str">
            <v>km/Litro</v>
          </cell>
          <cell r="E184" t="str">
            <v>-</v>
          </cell>
          <cell r="F184" t="str">
            <v>-</v>
          </cell>
          <cell r="G184" t="str">
            <v>-</v>
          </cell>
          <cell r="H184" t="str">
            <v>-</v>
          </cell>
          <cell r="I184" t="str">
            <v>-</v>
          </cell>
          <cell r="J184" t="str">
            <v>-</v>
          </cell>
          <cell r="K184" t="str">
            <v>-</v>
          </cell>
          <cell r="L184" t="str">
            <v>-</v>
          </cell>
          <cell r="M184" t="str">
            <v>-</v>
          </cell>
          <cell r="N184" t="str">
            <v>-</v>
          </cell>
          <cell r="O184" t="str">
            <v>-</v>
          </cell>
          <cell r="P184" t="str">
            <v>-</v>
          </cell>
          <cell r="Q184" t="str">
            <v>-</v>
          </cell>
          <cell r="R184">
            <v>40</v>
          </cell>
          <cell r="S184">
            <v>40</v>
          </cell>
          <cell r="T184">
            <v>40</v>
          </cell>
          <cell r="U184">
            <v>40</v>
          </cell>
          <cell r="V184">
            <v>40</v>
          </cell>
          <cell r="W184">
            <v>40</v>
          </cell>
          <cell r="X184">
            <v>40</v>
          </cell>
          <cell r="Y184">
            <v>40</v>
          </cell>
          <cell r="Z184">
            <v>40</v>
          </cell>
          <cell r="AA184">
            <v>40</v>
          </cell>
        </row>
        <row r="185">
          <cell r="C185" t="str">
            <v>Motocicletas flex a etanol</v>
          </cell>
          <cell r="D185" t="str">
            <v>km/Litro</v>
          </cell>
          <cell r="E185" t="str">
            <v>-</v>
          </cell>
          <cell r="F185" t="str">
            <v>-</v>
          </cell>
          <cell r="G185" t="str">
            <v>-</v>
          </cell>
          <cell r="H185" t="str">
            <v>-</v>
          </cell>
          <cell r="I185" t="str">
            <v>-</v>
          </cell>
          <cell r="J185" t="str">
            <v>-</v>
          </cell>
          <cell r="K185" t="str">
            <v>-</v>
          </cell>
          <cell r="L185" t="str">
            <v>-</v>
          </cell>
          <cell r="M185" t="str">
            <v>-</v>
          </cell>
          <cell r="N185" t="str">
            <v>-</v>
          </cell>
          <cell r="O185" t="str">
            <v>-</v>
          </cell>
          <cell r="P185" t="str">
            <v>-</v>
          </cell>
          <cell r="Q185" t="str">
            <v>-</v>
          </cell>
          <cell r="R185">
            <v>25</v>
          </cell>
          <cell r="S185">
            <v>25</v>
          </cell>
          <cell r="T185">
            <v>25</v>
          </cell>
          <cell r="U185">
            <v>25</v>
          </cell>
          <cell r="V185">
            <v>25</v>
          </cell>
          <cell r="W185">
            <v>25</v>
          </cell>
          <cell r="X185">
            <v>25</v>
          </cell>
          <cell r="Y185">
            <v>25</v>
          </cell>
          <cell r="Z185">
            <v>25</v>
          </cell>
          <cell r="AA185">
            <v>25</v>
          </cell>
        </row>
        <row r="186">
          <cell r="C186" t="str">
            <v>Veículo comercial leve a gasolina</v>
          </cell>
          <cell r="D186" t="str">
            <v>km/Litro</v>
          </cell>
          <cell r="E186">
            <v>11.82</v>
          </cell>
          <cell r="F186">
            <v>11.82</v>
          </cell>
          <cell r="G186">
            <v>10.98</v>
          </cell>
          <cell r="H186">
            <v>10.98</v>
          </cell>
          <cell r="I186">
            <v>10.039999999999999</v>
          </cell>
          <cell r="J186">
            <v>10.039999999999999</v>
          </cell>
          <cell r="K186">
            <v>11.04</v>
          </cell>
          <cell r="L186">
            <v>11.04</v>
          </cell>
          <cell r="M186">
            <v>11.82</v>
          </cell>
          <cell r="N186">
            <v>11.82</v>
          </cell>
          <cell r="O186">
            <v>11.89</v>
          </cell>
          <cell r="P186">
            <v>11.97</v>
          </cell>
          <cell r="Q186">
            <v>10.9</v>
          </cell>
          <cell r="R186">
            <v>11.2</v>
          </cell>
          <cell r="S186">
            <v>11.4</v>
          </cell>
          <cell r="T186">
            <v>11.3</v>
          </cell>
          <cell r="U186">
            <v>11.3</v>
          </cell>
          <cell r="V186">
            <v>11.3</v>
          </cell>
          <cell r="W186">
            <v>9.74</v>
          </cell>
          <cell r="X186">
            <v>9.5</v>
          </cell>
          <cell r="Y186">
            <v>9.5</v>
          </cell>
          <cell r="Z186">
            <v>9.5</v>
          </cell>
          <cell r="AA186">
            <v>9.5</v>
          </cell>
        </row>
        <row r="187">
          <cell r="C187" t="str">
            <v>Veículo comercial leve a etanol</v>
          </cell>
          <cell r="D187" t="str">
            <v>km/Litro</v>
          </cell>
          <cell r="E187">
            <v>8.65</v>
          </cell>
          <cell r="F187">
            <v>8.65</v>
          </cell>
          <cell r="G187">
            <v>8.01</v>
          </cell>
          <cell r="H187">
            <v>8.5399999999999991</v>
          </cell>
          <cell r="I187">
            <v>7.54</v>
          </cell>
          <cell r="J187">
            <v>7.54</v>
          </cell>
          <cell r="K187">
            <v>7.17</v>
          </cell>
          <cell r="L187">
            <v>7.17</v>
          </cell>
          <cell r="M187">
            <v>7.41</v>
          </cell>
          <cell r="N187">
            <v>8.01</v>
          </cell>
          <cell r="O187">
            <v>6.96</v>
          </cell>
          <cell r="P187">
            <v>6.96</v>
          </cell>
          <cell r="Q187">
            <v>7.2</v>
          </cell>
          <cell r="R187">
            <v>7.5</v>
          </cell>
          <cell r="S187">
            <v>8.6</v>
          </cell>
          <cell r="T187">
            <v>8.6</v>
          </cell>
          <cell r="U187">
            <v>6.9</v>
          </cell>
          <cell r="V187">
            <v>6.9</v>
          </cell>
          <cell r="W187">
            <v>6.9</v>
          </cell>
          <cell r="X187">
            <v>6.9</v>
          </cell>
          <cell r="Y187">
            <v>6.9</v>
          </cell>
          <cell r="Z187">
            <v>6.9</v>
          </cell>
          <cell r="AA187">
            <v>6.9</v>
          </cell>
        </row>
        <row r="188">
          <cell r="C188" t="str">
            <v>Veículo comercial leve a Diesel</v>
          </cell>
          <cell r="D188" t="str">
            <v>km/Litro</v>
          </cell>
          <cell r="E188">
            <v>9.09</v>
          </cell>
          <cell r="F188">
            <v>9.09</v>
          </cell>
          <cell r="G188">
            <v>9.09</v>
          </cell>
          <cell r="H188">
            <v>9.09</v>
          </cell>
          <cell r="I188">
            <v>9.09</v>
          </cell>
          <cell r="J188">
            <v>9.09</v>
          </cell>
          <cell r="K188">
            <v>9.09</v>
          </cell>
          <cell r="L188">
            <v>9.09</v>
          </cell>
          <cell r="M188">
            <v>9.09</v>
          </cell>
          <cell r="N188">
            <v>9.09</v>
          </cell>
          <cell r="O188">
            <v>9.09</v>
          </cell>
          <cell r="P188">
            <v>9.09</v>
          </cell>
          <cell r="Q188">
            <v>9.09</v>
          </cell>
          <cell r="R188">
            <v>9.09</v>
          </cell>
          <cell r="S188">
            <v>9.09</v>
          </cell>
          <cell r="T188">
            <v>9.09</v>
          </cell>
          <cell r="U188">
            <v>9.09</v>
          </cell>
          <cell r="V188">
            <v>9.09</v>
          </cell>
          <cell r="W188">
            <v>9.09</v>
          </cell>
          <cell r="X188">
            <v>9.09</v>
          </cell>
          <cell r="Y188">
            <v>9.09</v>
          </cell>
          <cell r="Z188">
            <v>9.09</v>
          </cell>
          <cell r="AA188">
            <v>9.09</v>
          </cell>
        </row>
        <row r="189">
          <cell r="C189" t="str">
            <v>Ônibus rodoviário a Diesel</v>
          </cell>
          <cell r="D189" t="str">
            <v>km/Litro</v>
          </cell>
          <cell r="E189">
            <v>3.03</v>
          </cell>
          <cell r="F189">
            <v>3.03</v>
          </cell>
          <cell r="G189">
            <v>3.03</v>
          </cell>
          <cell r="H189">
            <v>3.03</v>
          </cell>
          <cell r="I189">
            <v>3.03</v>
          </cell>
          <cell r="J189">
            <v>3.03</v>
          </cell>
          <cell r="K189">
            <v>3.03</v>
          </cell>
          <cell r="L189">
            <v>3.03</v>
          </cell>
          <cell r="M189">
            <v>3.03</v>
          </cell>
          <cell r="N189">
            <v>3.03</v>
          </cell>
          <cell r="O189">
            <v>3.03</v>
          </cell>
          <cell r="P189">
            <v>3.03</v>
          </cell>
          <cell r="Q189">
            <v>3.03</v>
          </cell>
          <cell r="R189">
            <v>3.03</v>
          </cell>
          <cell r="S189">
            <v>3.03</v>
          </cell>
          <cell r="T189">
            <v>3.03</v>
          </cell>
          <cell r="U189">
            <v>3.03</v>
          </cell>
          <cell r="V189">
            <v>3.03</v>
          </cell>
          <cell r="W189">
            <v>3.03</v>
          </cell>
          <cell r="X189">
            <v>3.03</v>
          </cell>
          <cell r="Y189">
            <v>3.03</v>
          </cell>
          <cell r="Z189">
            <v>3.03</v>
          </cell>
          <cell r="AA189">
            <v>3.03</v>
          </cell>
        </row>
        <row r="190">
          <cell r="C190" t="str">
            <v>Ônibus urbano a Diesel</v>
          </cell>
          <cell r="D190" t="str">
            <v>km/Litro</v>
          </cell>
          <cell r="E190">
            <v>2.2999999999999998</v>
          </cell>
          <cell r="F190">
            <v>2.2999999999999998</v>
          </cell>
          <cell r="G190">
            <v>2.2999999999999998</v>
          </cell>
          <cell r="H190">
            <v>2.2999999999999998</v>
          </cell>
          <cell r="I190">
            <v>2.2999999999999998</v>
          </cell>
          <cell r="J190">
            <v>2.2999999999999998</v>
          </cell>
          <cell r="K190">
            <v>2.2999999999999998</v>
          </cell>
          <cell r="L190">
            <v>2.2999999999999998</v>
          </cell>
          <cell r="M190">
            <v>2.2999999999999998</v>
          </cell>
          <cell r="N190">
            <v>2.2999999999999998</v>
          </cell>
          <cell r="O190">
            <v>2.2999999999999998</v>
          </cell>
          <cell r="P190">
            <v>2.2999999999999998</v>
          </cell>
          <cell r="Q190">
            <v>2.2999999999999998</v>
          </cell>
          <cell r="R190">
            <v>2.2999999999999998</v>
          </cell>
          <cell r="S190">
            <v>2.2999999999999998</v>
          </cell>
          <cell r="T190">
            <v>2.2999999999999998</v>
          </cell>
          <cell r="U190">
            <v>2.2999999999999998</v>
          </cell>
          <cell r="V190">
            <v>2.2999999999999998</v>
          </cell>
          <cell r="W190">
            <v>2.2999999999999998</v>
          </cell>
          <cell r="X190">
            <v>2.2999999999999998</v>
          </cell>
          <cell r="Y190">
            <v>2.2999999999999998</v>
          </cell>
          <cell r="Z190">
            <v>2.2999999999999998</v>
          </cell>
          <cell r="AA190">
            <v>2.2999999999999998</v>
          </cell>
        </row>
        <row r="191">
          <cell r="C191" t="str">
            <v>Veículo leve a GNV</v>
          </cell>
          <cell r="D191" t="str">
            <v>km/m³</v>
          </cell>
          <cell r="E191">
            <v>14.5</v>
          </cell>
          <cell r="F191">
            <v>14.5</v>
          </cell>
          <cell r="G191">
            <v>14.5</v>
          </cell>
          <cell r="H191">
            <v>14.5</v>
          </cell>
          <cell r="I191">
            <v>14.5</v>
          </cell>
          <cell r="J191">
            <v>14.5</v>
          </cell>
          <cell r="K191">
            <v>14.5</v>
          </cell>
          <cell r="L191">
            <v>14.5</v>
          </cell>
          <cell r="M191">
            <v>14.5</v>
          </cell>
          <cell r="N191">
            <v>14.5</v>
          </cell>
          <cell r="O191">
            <v>14.5</v>
          </cell>
          <cell r="P191">
            <v>14.5</v>
          </cell>
          <cell r="Q191">
            <v>14.5</v>
          </cell>
          <cell r="R191">
            <v>14.5</v>
          </cell>
          <cell r="S191">
            <v>14.5</v>
          </cell>
          <cell r="T191">
            <v>14.5</v>
          </cell>
          <cell r="U191">
            <v>14.5</v>
          </cell>
          <cell r="V191">
            <v>14.5</v>
          </cell>
          <cell r="W191">
            <v>14.5</v>
          </cell>
          <cell r="X191">
            <v>14.5</v>
          </cell>
          <cell r="Y191">
            <v>14.5</v>
          </cell>
          <cell r="Z191">
            <v>14.5</v>
          </cell>
          <cell r="AA191">
            <v>14.5</v>
          </cell>
        </row>
        <row r="192">
          <cell r="C192" t="str">
            <v>Veículo médio a GNV</v>
          </cell>
          <cell r="D192" t="str">
            <v>km/m³</v>
          </cell>
          <cell r="E192">
            <v>13.8</v>
          </cell>
          <cell r="F192">
            <v>13.8</v>
          </cell>
          <cell r="G192">
            <v>13.8</v>
          </cell>
          <cell r="H192">
            <v>13.8</v>
          </cell>
          <cell r="I192">
            <v>13.8</v>
          </cell>
          <cell r="J192">
            <v>13.8</v>
          </cell>
          <cell r="K192">
            <v>13.8</v>
          </cell>
          <cell r="L192">
            <v>13.8</v>
          </cell>
          <cell r="M192">
            <v>13.8</v>
          </cell>
          <cell r="N192">
            <v>13.8</v>
          </cell>
          <cell r="O192">
            <v>13.8</v>
          </cell>
          <cell r="P192">
            <v>13.8</v>
          </cell>
          <cell r="Q192">
            <v>13.8</v>
          </cell>
          <cell r="R192">
            <v>13.8</v>
          </cell>
          <cell r="S192">
            <v>13.8</v>
          </cell>
          <cell r="T192">
            <v>13.8</v>
          </cell>
          <cell r="U192">
            <v>13.8</v>
          </cell>
          <cell r="V192">
            <v>13.8</v>
          </cell>
          <cell r="W192">
            <v>13.8</v>
          </cell>
          <cell r="X192">
            <v>13.8</v>
          </cell>
          <cell r="Y192">
            <v>13.8</v>
          </cell>
          <cell r="Z192">
            <v>13.8</v>
          </cell>
          <cell r="AA192">
            <v>13.8</v>
          </cell>
        </row>
        <row r="193">
          <cell r="C193" t="str">
            <v>Veículo pesado a GNV</v>
          </cell>
          <cell r="D193" t="str">
            <v>km/m³</v>
          </cell>
          <cell r="E193">
            <v>10.9</v>
          </cell>
          <cell r="F193">
            <v>10.9</v>
          </cell>
          <cell r="G193">
            <v>10.9</v>
          </cell>
          <cell r="H193">
            <v>10.9</v>
          </cell>
          <cell r="I193">
            <v>10.9</v>
          </cell>
          <cell r="J193">
            <v>10.9</v>
          </cell>
          <cell r="K193">
            <v>10.9</v>
          </cell>
          <cell r="L193">
            <v>10.9</v>
          </cell>
          <cell r="M193">
            <v>10.9</v>
          </cell>
          <cell r="N193">
            <v>10.9</v>
          </cell>
          <cell r="O193">
            <v>10.9</v>
          </cell>
          <cell r="P193">
            <v>10.9</v>
          </cell>
          <cell r="Q193">
            <v>10.9</v>
          </cell>
          <cell r="R193">
            <v>10.9</v>
          </cell>
          <cell r="S193">
            <v>10.9</v>
          </cell>
          <cell r="T193">
            <v>10.9</v>
          </cell>
          <cell r="U193">
            <v>10.9</v>
          </cell>
          <cell r="V193">
            <v>10.9</v>
          </cell>
          <cell r="W193">
            <v>10.9</v>
          </cell>
          <cell r="X193">
            <v>10.9</v>
          </cell>
          <cell r="Y193">
            <v>10.9</v>
          </cell>
          <cell r="Z193">
            <v>10.9</v>
          </cell>
          <cell r="AA193">
            <v>10.9</v>
          </cell>
        </row>
        <row r="205">
          <cell r="C205" t="str">
            <v>Longa-distância (d ≥ 3.700 km)</v>
          </cell>
          <cell r="D205">
            <v>0.09</v>
          </cell>
          <cell r="E205">
            <v>0.10789</v>
          </cell>
          <cell r="F205">
            <v>4.7619047619047623E-7</v>
          </cell>
          <cell r="G205">
            <v>3.4193548387096773E-6</v>
          </cell>
        </row>
        <row r="206">
          <cell r="C206" t="str">
            <v>Média-distância (500 ≤ d  &lt;3.700 km)</v>
          </cell>
          <cell r="D206">
            <v>0.09</v>
          </cell>
          <cell r="E206">
            <v>9.4289999999999999E-2</v>
          </cell>
          <cell r="F206">
            <v>4.7619047619047623E-7</v>
          </cell>
          <cell r="G206">
            <v>3.0000000000000001E-6</v>
          </cell>
        </row>
        <row r="207">
          <cell r="C207" t="str">
            <v>Curta-distância (d &lt; 500 km)</v>
          </cell>
          <cell r="D207">
            <v>0.09</v>
          </cell>
          <cell r="E207">
            <v>0.16513</v>
          </cell>
          <cell r="F207">
            <v>4.7619047619047624E-6</v>
          </cell>
          <cell r="G207">
            <v>5.2580645161290321E-6</v>
          </cell>
        </row>
        <row r="214">
          <cell r="C214" t="str">
            <v>CO2</v>
          </cell>
          <cell r="E214">
            <v>1</v>
          </cell>
        </row>
        <row r="215">
          <cell r="C215" t="str">
            <v>CH4</v>
          </cell>
          <cell r="E215">
            <v>21</v>
          </cell>
        </row>
        <row r="216">
          <cell r="C216" t="str">
            <v>N2O</v>
          </cell>
          <cell r="E216">
            <v>310</v>
          </cell>
        </row>
        <row r="217">
          <cell r="C217" t="str">
            <v>HFC-23</v>
          </cell>
        </row>
        <row r="218">
          <cell r="C218" t="str">
            <v>HFC-32</v>
          </cell>
        </row>
        <row r="219">
          <cell r="C219" t="str">
            <v>HFC-41</v>
          </cell>
        </row>
        <row r="220">
          <cell r="C220" t="str">
            <v>HFC-43-10mee</v>
          </cell>
        </row>
        <row r="221">
          <cell r="C221" t="str">
            <v>HFC-125</v>
          </cell>
        </row>
        <row r="222">
          <cell r="C222" t="str">
            <v>HFC-134</v>
          </cell>
        </row>
        <row r="223">
          <cell r="C223" t="str">
            <v>HFC-134a</v>
          </cell>
        </row>
        <row r="224">
          <cell r="C224" t="str">
            <v>HFC-143</v>
          </cell>
        </row>
        <row r="225">
          <cell r="C225" t="str">
            <v>HFC-143a</v>
          </cell>
        </row>
        <row r="226">
          <cell r="C226" t="str">
            <v>HFC-152</v>
          </cell>
        </row>
        <row r="227">
          <cell r="C227" t="str">
            <v>HFC-152a</v>
          </cell>
        </row>
        <row r="228">
          <cell r="C228" t="str">
            <v>HFC-161</v>
          </cell>
        </row>
        <row r="229">
          <cell r="C229" t="str">
            <v>HFC-227ea</v>
          </cell>
        </row>
        <row r="230">
          <cell r="C230" t="str">
            <v>HFC-236cb</v>
          </cell>
        </row>
        <row r="231">
          <cell r="C231" t="str">
            <v>HFC-236ea</v>
          </cell>
        </row>
        <row r="232">
          <cell r="C232" t="str">
            <v>HFC-236fa</v>
          </cell>
        </row>
        <row r="233">
          <cell r="C233" t="str">
            <v>HFC-245ca</v>
          </cell>
        </row>
        <row r="234">
          <cell r="C234" t="str">
            <v>HFC-245fa</v>
          </cell>
        </row>
        <row r="235">
          <cell r="C235" t="str">
            <v>HFC-365mfc</v>
          </cell>
        </row>
        <row r="236">
          <cell r="C236" t="str">
            <v>R-401A</v>
          </cell>
        </row>
        <row r="237">
          <cell r="C237" t="str">
            <v>R-401B</v>
          </cell>
        </row>
        <row r="238">
          <cell r="C238" t="str">
            <v>R-401C</v>
          </cell>
        </row>
        <row r="239">
          <cell r="C239" t="str">
            <v>R-402A</v>
          </cell>
        </row>
        <row r="240">
          <cell r="C240" t="str">
            <v>R-402B</v>
          </cell>
        </row>
        <row r="241">
          <cell r="C241" t="str">
            <v>R-403A</v>
          </cell>
        </row>
        <row r="242">
          <cell r="C242" t="str">
            <v>R-403B</v>
          </cell>
        </row>
        <row r="243">
          <cell r="C243" t="str">
            <v>R-404A</v>
          </cell>
        </row>
        <row r="244">
          <cell r="C244" t="str">
            <v>R-406A</v>
          </cell>
        </row>
        <row r="245">
          <cell r="C245" t="str">
            <v>R-407A</v>
          </cell>
        </row>
        <row r="246">
          <cell r="C246" t="str">
            <v>R-407B</v>
          </cell>
        </row>
        <row r="247">
          <cell r="C247" t="str">
            <v>R-407C</v>
          </cell>
        </row>
        <row r="248">
          <cell r="C248" t="str">
            <v>R-407D</v>
          </cell>
        </row>
        <row r="249">
          <cell r="C249" t="str">
            <v>R-407E</v>
          </cell>
        </row>
        <row r="250">
          <cell r="C250" t="str">
            <v>R-408A</v>
          </cell>
        </row>
        <row r="251">
          <cell r="C251" t="str">
            <v>R-409A</v>
          </cell>
        </row>
        <row r="252">
          <cell r="C252" t="str">
            <v>R-409B</v>
          </cell>
        </row>
        <row r="253">
          <cell r="C253" t="str">
            <v>R-410A</v>
          </cell>
        </row>
        <row r="254">
          <cell r="C254" t="str">
            <v>R-410B</v>
          </cell>
        </row>
        <row r="255">
          <cell r="C255" t="str">
            <v>R-411A</v>
          </cell>
        </row>
        <row r="256">
          <cell r="C256" t="str">
            <v>R-411B</v>
          </cell>
        </row>
        <row r="257">
          <cell r="C257" t="str">
            <v>R-412A</v>
          </cell>
        </row>
        <row r="258">
          <cell r="C258" t="str">
            <v>R-413A</v>
          </cell>
        </row>
        <row r="259">
          <cell r="C259" t="str">
            <v>R-414A</v>
          </cell>
        </row>
        <row r="260">
          <cell r="C260" t="str">
            <v>R-414B</v>
          </cell>
        </row>
        <row r="261">
          <cell r="C261" t="str">
            <v>R-415A</v>
          </cell>
        </row>
        <row r="262">
          <cell r="C262" t="str">
            <v>R-415B</v>
          </cell>
        </row>
        <row r="263">
          <cell r="C263" t="str">
            <v>R-416A</v>
          </cell>
        </row>
        <row r="264">
          <cell r="C264" t="str">
            <v>R-417A</v>
          </cell>
        </row>
        <row r="265">
          <cell r="C265" t="str">
            <v>R-418A</v>
          </cell>
        </row>
        <row r="266">
          <cell r="C266" t="str">
            <v>R-419A</v>
          </cell>
        </row>
        <row r="267">
          <cell r="C267" t="str">
            <v>R-420A</v>
          </cell>
        </row>
        <row r="268">
          <cell r="C268" t="str">
            <v>R-500</v>
          </cell>
        </row>
        <row r="269">
          <cell r="C269" t="str">
            <v>R-501</v>
          </cell>
        </row>
        <row r="270">
          <cell r="C270" t="str">
            <v>R-502</v>
          </cell>
        </row>
        <row r="271">
          <cell r="C271" t="str">
            <v>R-503</v>
          </cell>
        </row>
        <row r="272">
          <cell r="C272" t="str">
            <v>R-504</v>
          </cell>
        </row>
        <row r="273">
          <cell r="C273" t="str">
            <v>R-505</v>
          </cell>
        </row>
        <row r="274">
          <cell r="C274" t="str">
            <v>R-506</v>
          </cell>
        </row>
        <row r="275">
          <cell r="C275" t="str">
            <v>R-507 ou R-507A</v>
          </cell>
        </row>
        <row r="276">
          <cell r="C276" t="str">
            <v>R-508A</v>
          </cell>
        </row>
        <row r="277">
          <cell r="C277" t="str">
            <v>R-508B</v>
          </cell>
        </row>
        <row r="278">
          <cell r="C278" t="str">
            <v>R-509 ou R-509A</v>
          </cell>
        </row>
        <row r="279">
          <cell r="C279" t="str">
            <v>PFC-218 (C3F8)</v>
          </cell>
        </row>
        <row r="280">
          <cell r="C280" t="str">
            <v>PFC-116 (C2F6)</v>
          </cell>
        </row>
        <row r="281">
          <cell r="C281" t="str">
            <v>PFC-14 (CF4)</v>
          </cell>
        </row>
        <row r="282">
          <cell r="C282" t="str">
            <v>Perfluorbutano</v>
          </cell>
        </row>
        <row r="283">
          <cell r="C283" t="str">
            <v>Perfluorciclobutano</v>
          </cell>
        </row>
        <row r="284">
          <cell r="C284" t="str">
            <v>Perfluorpentano</v>
          </cell>
        </row>
        <row r="285">
          <cell r="C285" t="str">
            <v>Perfluorhexano</v>
          </cell>
        </row>
        <row r="286">
          <cell r="C286" t="str">
            <v>SF6</v>
          </cell>
          <cell r="E286">
            <v>23900</v>
          </cell>
        </row>
      </sheetData>
      <sheetData sheetId="21" refreshError="1">
        <row r="39">
          <cell r="E39">
            <v>0.2</v>
          </cell>
          <cell r="F39">
            <v>0.2</v>
          </cell>
          <cell r="G39">
            <v>0.2</v>
          </cell>
          <cell r="H39">
            <v>0.2</v>
          </cell>
          <cell r="I39">
            <v>0.2</v>
          </cell>
          <cell r="J39">
            <v>0.2</v>
          </cell>
          <cell r="K39">
            <v>0.2</v>
          </cell>
          <cell r="L39">
            <v>0.2</v>
          </cell>
          <cell r="M39">
            <v>0.2</v>
          </cell>
          <cell r="N39">
            <v>0.2</v>
          </cell>
          <cell r="O39">
            <v>0.2</v>
          </cell>
          <cell r="P39">
            <v>0.2</v>
          </cell>
          <cell r="Q39">
            <v>0.19999999999999998</v>
          </cell>
        </row>
        <row r="40">
          <cell r="E40">
            <v>0.05</v>
          </cell>
          <cell r="F40">
            <v>0.05</v>
          </cell>
          <cell r="G40">
            <v>0.05</v>
          </cell>
          <cell r="H40">
            <v>0.05</v>
          </cell>
          <cell r="I40">
            <v>0.05</v>
          </cell>
          <cell r="J40">
            <v>0.05</v>
          </cell>
          <cell r="K40">
            <v>0.05</v>
          </cell>
          <cell r="L40">
            <v>0.05</v>
          </cell>
          <cell r="M40">
            <v>0.05</v>
          </cell>
          <cell r="N40">
            <v>0.05</v>
          </cell>
          <cell r="O40">
            <v>0.05</v>
          </cell>
          <cell r="P40">
            <v>0.05</v>
          </cell>
          <cell r="Q40">
            <v>4.9999999999999996E-2</v>
          </cell>
        </row>
      </sheetData>
      <sheetData sheetId="22" refreshError="1"/>
      <sheetData sheetId="23" refreshError="1"/>
      <sheetData sheetId="24" refreshError="1"/>
      <sheetData sheetId="2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pa 1"/>
      <sheetName val="Etapa 2"/>
      <sheetName val="Resíduos sólidos"/>
      <sheetName val="Base de Dados"/>
      <sheetName val="Fatores de Emissão"/>
    </sheetNames>
    <sheetDataSet>
      <sheetData sheetId="0" refreshError="1"/>
      <sheetData sheetId="1"/>
      <sheetData sheetId="2">
        <row r="119">
          <cell r="E119">
            <v>0</v>
          </cell>
        </row>
      </sheetData>
      <sheetData sheetId="3">
        <row r="15">
          <cell r="B15" t="str">
            <v>Selecione</v>
          </cell>
          <cell r="C15" t="str">
            <v>Selecione</v>
          </cell>
        </row>
        <row r="16">
          <cell r="B16" t="str">
            <v>Sim</v>
          </cell>
          <cell r="C16" t="str">
            <v>Sim</v>
          </cell>
        </row>
        <row r="17">
          <cell r="B17" t="str">
            <v>Não</v>
          </cell>
          <cell r="C17" t="str">
            <v>Não, utilizarei valor default</v>
          </cell>
        </row>
        <row r="19">
          <cell r="B19" t="str">
            <v>Selecione</v>
          </cell>
        </row>
        <row r="20">
          <cell r="B20" t="str">
            <v>≥ 1.000</v>
          </cell>
        </row>
        <row r="21">
          <cell r="B21" t="str">
            <v>&lt;1.000</v>
          </cell>
        </row>
        <row r="23">
          <cell r="B23" t="str">
            <v>Selecione</v>
          </cell>
        </row>
        <row r="24">
          <cell r="B24" t="str">
            <v>&gt;20</v>
          </cell>
        </row>
        <row r="25">
          <cell r="B25" t="str">
            <v>≤20</v>
          </cell>
        </row>
        <row r="27">
          <cell r="B27" t="str">
            <v>Selecione</v>
          </cell>
        </row>
        <row r="28">
          <cell r="B28" t="str">
            <v>Não</v>
          </cell>
        </row>
        <row r="29">
          <cell r="B29" t="str">
            <v>Sim, para geração de energia para a rede</v>
          </cell>
        </row>
        <row r="30">
          <cell r="B30" t="str">
            <v>Sim, para a comercalização de biogás</v>
          </cell>
        </row>
      </sheetData>
      <sheetData sheetId="4"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tapa 1"/>
      <sheetName val="Etapa 2"/>
      <sheetName val="Base de dados"/>
      <sheetName val="Emissions Reductions"/>
      <sheetName val="Estoque fitofisio"/>
      <sheetName val="RADAM"/>
    </sheetNames>
    <sheetDataSet>
      <sheetData sheetId="0"/>
      <sheetData sheetId="1">
        <row r="15">
          <cell r="C15">
            <v>0.01</v>
          </cell>
        </row>
      </sheetData>
      <sheetData sheetId="2">
        <row r="9">
          <cell r="B9" t="str">
            <v>Selecione</v>
          </cell>
        </row>
        <row r="10">
          <cell r="B10" t="str">
            <v>Pastagem</v>
          </cell>
        </row>
        <row r="11">
          <cell r="B11" t="str">
            <v>Agricultura anual</v>
          </cell>
        </row>
        <row r="12">
          <cell r="B12" t="str">
            <v>Agricultura perene</v>
          </cell>
        </row>
        <row r="15">
          <cell r="B15" t="str">
            <v>Selecione</v>
          </cell>
        </row>
        <row r="16">
          <cell r="B16" t="str">
            <v>Floresta Ombrófila Aberta Aluvial</v>
          </cell>
        </row>
        <row r="17">
          <cell r="B17" t="str">
            <v>Floresta Ombrófila Aberta Terras Baixas</v>
          </cell>
        </row>
        <row r="18">
          <cell r="B18" t="str">
            <v>Floresta Ombrófila Aberta Submontana</v>
          </cell>
        </row>
        <row r="19">
          <cell r="B19" t="str">
            <v>Floresta Estacional Decidual Terras Baixas</v>
          </cell>
        </row>
        <row r="20">
          <cell r="B20" t="str">
            <v>Floresta Estacional Decidual Submontana</v>
          </cell>
        </row>
        <row r="21">
          <cell r="B21" t="str">
            <v>Floresta Ombrófila Densa Aluvial</v>
          </cell>
        </row>
        <row r="22">
          <cell r="B22" t="str">
            <v>Floresta Ombrófila Densa de Terras Baixas</v>
          </cell>
        </row>
        <row r="23">
          <cell r="B23" t="str">
            <v>Floresta Ombrófila Densa Montana</v>
          </cell>
        </row>
        <row r="24">
          <cell r="B24" t="str">
            <v>Floresta Ombrófila Densa Submontana</v>
          </cell>
        </row>
        <row r="25">
          <cell r="B25" t="str">
            <v>Floresta Estacional Semidecidual aluvial</v>
          </cell>
        </row>
        <row r="26">
          <cell r="B26" t="str">
            <v>Floresta Estacional Semidecidual de terras baixas</v>
          </cell>
        </row>
        <row r="27">
          <cell r="B27" t="str">
            <v>Floresta Estacional Semidecidual montana</v>
          </cell>
        </row>
        <row r="28">
          <cell r="B28" t="str">
            <v>Floresta Estacional Semidecidual Submontana</v>
          </cell>
        </row>
        <row r="29">
          <cell r="B29" t="str">
            <v>Campinarana Arborizada</v>
          </cell>
        </row>
        <row r="30">
          <cell r="B30" t="str">
            <v>Campinarana Arbustiva</v>
          </cell>
        </row>
        <row r="31">
          <cell r="B31" t="str">
            <v>Campinarana gramíneo lenhosa</v>
          </cell>
        </row>
        <row r="32">
          <cell r="B32" t="str">
            <v>Campinarana Florestada</v>
          </cell>
        </row>
        <row r="33">
          <cell r="B33" t="str">
            <v>Vegetação com influência fluvial e/ou lacustre</v>
          </cell>
        </row>
        <row r="34">
          <cell r="B34" t="str">
            <v>Pioneiras com influência fluviomarinha (mangue)</v>
          </cell>
        </row>
        <row r="35">
          <cell r="B35" t="str">
            <v>Pioneiras com influência Marinha (restinga)</v>
          </cell>
        </row>
        <row r="36">
          <cell r="B36" t="str">
            <v>Refúgio Montano</v>
          </cell>
        </row>
        <row r="37">
          <cell r="B37" t="str">
            <v>Refúgio Submontano</v>
          </cell>
        </row>
        <row r="38">
          <cell r="B38" t="str">
            <v>Savana Arborizada</v>
          </cell>
        </row>
        <row r="39">
          <cell r="B39" t="str">
            <v>Savana Florestada</v>
          </cell>
        </row>
        <row r="40">
          <cell r="B40" t="str">
            <v>Savana Gramíneo-Lenhosa</v>
          </cell>
        </row>
        <row r="41">
          <cell r="B41" t="str">
            <v>Savana Parque</v>
          </cell>
        </row>
        <row r="42">
          <cell r="B42" t="str">
            <v>Savana Estépica Arborizada</v>
          </cell>
        </row>
        <row r="43">
          <cell r="B43" t="str">
            <v>Savana Estépica Florestada</v>
          </cell>
        </row>
        <row r="44">
          <cell r="B44" t="str">
            <v>Savana Estépica Gramíneo Lenhosa</v>
          </cell>
        </row>
        <row r="45">
          <cell r="B45" t="str">
            <v>Savana Estépica Parque</v>
          </cell>
        </row>
      </sheetData>
      <sheetData sheetId="3"/>
      <sheetData sheetId="4"/>
      <sheetData sheetId="5"/>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claimer"/>
      <sheetName val="Atualizações"/>
      <sheetName val="Listas"/>
      <sheetName val="Introdução"/>
      <sheetName val="Combustão estacionária"/>
      <sheetName val="Combustão móvel"/>
      <sheetName val="Emissões fugitivas"/>
      <sheetName val="Processos industriais"/>
      <sheetName val="Atividades agrícolas"/>
      <sheetName val="Resíduos sólidos"/>
      <sheetName val="Efluentes"/>
      <sheetName val="Compra de Energia Elétrica"/>
      <sheetName val="Compra de Energia Térmica"/>
      <sheetName val="Categorias de Escopo 3"/>
      <sheetName val="Transp.&amp; Distribuição(Upstream)"/>
      <sheetName val="Resíduos sólidos da operação"/>
      <sheetName val="Efluentes gerados na operação"/>
      <sheetName val="Viagens a Negócios"/>
      <sheetName val="Transp&amp;Distribuição(Downstream)"/>
      <sheetName val="Resumo"/>
      <sheetName val="Fatores de Emissão"/>
      <sheetName val="Fatores Variáveis"/>
      <sheetName val="Fatores de conversão"/>
      <sheetName val="Transporte Diário Funcionários"/>
      <sheetName val="Transporte de Produtos"/>
      <sheetName val="Melhorias"/>
    </sheetNames>
    <sheetDataSet>
      <sheetData sheetId="0"/>
      <sheetData sheetId="1"/>
      <sheetData sheetId="2">
        <row r="2">
          <cell r="B2" t="str">
            <v>Selecione</v>
          </cell>
        </row>
      </sheetData>
      <sheetData sheetId="3">
        <row r="24">
          <cell r="E24">
            <v>2012</v>
          </cell>
        </row>
      </sheetData>
      <sheetData sheetId="4">
        <row r="30">
          <cell r="D30" t="str">
            <v>Comercial ou Institucional</v>
          </cell>
        </row>
      </sheetData>
      <sheetData sheetId="5">
        <row r="50">
          <cell r="AF50" t="str">
            <v/>
          </cell>
        </row>
      </sheetData>
      <sheetData sheetId="6">
        <row r="209">
          <cell r="F209">
            <v>0</v>
          </cell>
        </row>
      </sheetData>
      <sheetData sheetId="7">
        <row r="31">
          <cell r="AE31">
            <v>0</v>
          </cell>
        </row>
      </sheetData>
      <sheetData sheetId="8">
        <row r="31">
          <cell r="AE31">
            <v>0</v>
          </cell>
        </row>
        <row r="96">
          <cell r="AE96">
            <v>0</v>
          </cell>
        </row>
        <row r="97">
          <cell r="AE97">
            <v>0</v>
          </cell>
        </row>
        <row r="98">
          <cell r="AE98">
            <v>0</v>
          </cell>
        </row>
        <row r="99">
          <cell r="AE99">
            <v>0</v>
          </cell>
        </row>
        <row r="100">
          <cell r="AE100">
            <v>0</v>
          </cell>
        </row>
        <row r="101">
          <cell r="AE101">
            <v>0</v>
          </cell>
        </row>
        <row r="102">
          <cell r="AE102">
            <v>0</v>
          </cell>
        </row>
      </sheetData>
      <sheetData sheetId="9">
        <row r="115">
          <cell r="AH115">
            <v>4.1975751926711258</v>
          </cell>
        </row>
      </sheetData>
      <sheetData sheetId="10">
        <row r="109">
          <cell r="E109">
            <v>0</v>
          </cell>
        </row>
      </sheetData>
      <sheetData sheetId="11">
        <row r="164">
          <cell r="J164">
            <v>0</v>
          </cell>
        </row>
      </sheetData>
      <sheetData sheetId="12">
        <row r="89">
          <cell r="F89">
            <v>0</v>
          </cell>
        </row>
      </sheetData>
      <sheetData sheetId="13">
        <row r="25">
          <cell r="I25">
            <v>0</v>
          </cell>
        </row>
      </sheetData>
      <sheetData sheetId="14">
        <row r="53">
          <cell r="AF53" t="str">
            <v/>
          </cell>
        </row>
      </sheetData>
      <sheetData sheetId="15">
        <row r="123">
          <cell r="E123">
            <v>0</v>
          </cell>
        </row>
      </sheetData>
      <sheetData sheetId="16">
        <row r="109">
          <cell r="E109">
            <v>0</v>
          </cell>
        </row>
      </sheetData>
      <sheetData sheetId="17">
        <row r="71">
          <cell r="F71">
            <v>0</v>
          </cell>
        </row>
      </sheetData>
      <sheetData sheetId="18">
        <row r="52">
          <cell r="AF52" t="str">
            <v/>
          </cell>
        </row>
      </sheetData>
      <sheetData sheetId="19"/>
      <sheetData sheetId="20">
        <row r="46">
          <cell r="K46" t="str">
            <v>Energia</v>
          </cell>
        </row>
      </sheetData>
      <sheetData sheetId="21">
        <row r="39">
          <cell r="E39">
            <v>0.2</v>
          </cell>
        </row>
      </sheetData>
      <sheetData sheetId="22"/>
      <sheetData sheetId="23"/>
      <sheetData sheetId="24"/>
      <sheetData sheetId="25"/>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6.bin"/><Relationship Id="rId1" Type="http://schemas.openxmlformats.org/officeDocument/2006/relationships/hyperlink" Target="http://www.dpi.inpe.br/prodesdigital/prodesmunicipal.php" TargetMode="External"/><Relationship Id="rId5" Type="http://schemas.openxmlformats.org/officeDocument/2006/relationships/comments" Target="../comments8.xml"/><Relationship Id="rId4" Type="http://schemas.openxmlformats.org/officeDocument/2006/relationships/vmlDrawing" Target="../drawings/vmlDrawing8.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7.bin"/><Relationship Id="rId4" Type="http://schemas.openxmlformats.org/officeDocument/2006/relationships/comments" Target="../comments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8.bin"/><Relationship Id="rId4" Type="http://schemas.openxmlformats.org/officeDocument/2006/relationships/comments" Target="../comments10.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5.xml"/><Relationship Id="rId1" Type="http://schemas.openxmlformats.org/officeDocument/2006/relationships/printerSettings" Target="../printerSettings/printerSettings9.bin"/><Relationship Id="rId4" Type="http://schemas.openxmlformats.org/officeDocument/2006/relationships/comments" Target="../comments11.xml"/></Relationships>
</file>

<file path=xl/worksheets/_rels/sheet1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mailto:equipetese@fgv.br"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omments" Target="../comments1.xml"/><Relationship Id="rId2" Type="http://schemas.openxmlformats.org/officeDocument/2006/relationships/drawing" Target="../drawings/drawing3.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3.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omments" Target="../comments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M43"/>
  <sheetViews>
    <sheetView showGridLines="0" tabSelected="1" workbookViewId="0">
      <selection activeCell="L5" sqref="L5"/>
    </sheetView>
  </sheetViews>
  <sheetFormatPr defaultColWidth="0" defaultRowHeight="15" zeroHeight="1" x14ac:dyDescent="0.25"/>
  <cols>
    <col min="1" max="12" width="9.140625" customWidth="1"/>
    <col min="13" max="13" width="0" hidden="1" customWidth="1"/>
    <col min="14" max="16384" width="9.140625" hidden="1"/>
  </cols>
  <sheetData>
    <row r="1" spans="1:13" x14ac:dyDescent="0.25">
      <c r="A1" s="2019" t="s">
        <v>1595</v>
      </c>
      <c r="B1" s="1208"/>
      <c r="C1" s="1208"/>
      <c r="D1" s="1208"/>
      <c r="E1" s="1208"/>
      <c r="F1" s="2019" t="s">
        <v>1597</v>
      </c>
      <c r="G1" s="1208"/>
      <c r="H1" s="1208"/>
      <c r="I1" s="1208"/>
      <c r="J1" s="1208"/>
      <c r="K1" s="1208"/>
      <c r="L1" s="1208"/>
      <c r="M1" s="1208"/>
    </row>
    <row r="2" spans="1:13" s="6" customFormat="1" x14ac:dyDescent="0.25">
      <c r="A2" s="1208"/>
      <c r="B2" s="1208"/>
      <c r="C2" s="1208"/>
      <c r="D2" s="1208"/>
      <c r="E2" s="1208"/>
      <c r="F2" s="1208"/>
      <c r="G2" s="1208"/>
      <c r="H2" s="1208"/>
      <c r="I2" s="1208"/>
      <c r="J2" s="1208"/>
      <c r="K2" s="1208"/>
      <c r="L2" s="1208"/>
      <c r="M2" s="1208"/>
    </row>
    <row r="3" spans="1:13" s="6" customFormat="1" x14ac:dyDescent="0.25">
      <c r="A3" s="1208"/>
      <c r="B3" s="1208"/>
      <c r="C3" s="1208"/>
      <c r="D3" s="1208"/>
      <c r="E3" s="1208"/>
      <c r="F3" s="1208"/>
      <c r="G3" s="1208"/>
      <c r="H3" s="1208"/>
      <c r="I3" s="1208"/>
      <c r="J3" s="1208"/>
      <c r="K3" s="1208"/>
      <c r="L3" s="1208"/>
      <c r="M3" s="1208"/>
    </row>
    <row r="4" spans="1:13" ht="24" customHeight="1" x14ac:dyDescent="0.25">
      <c r="A4" s="1208"/>
      <c r="B4" s="1208"/>
      <c r="C4" s="1208"/>
      <c r="D4" s="1208"/>
      <c r="E4" s="1208"/>
      <c r="F4" s="1208"/>
      <c r="G4" s="1208"/>
      <c r="H4" s="1208"/>
      <c r="I4" s="1208"/>
      <c r="J4" s="1208"/>
      <c r="K4" s="1208"/>
      <c r="L4" s="1208"/>
      <c r="M4" s="1208"/>
    </row>
    <row r="5" spans="1:13" ht="19.5" customHeight="1" thickBot="1" x14ac:dyDescent="0.3">
      <c r="A5" s="1208"/>
      <c r="B5" s="1540" t="s">
        <v>1505</v>
      </c>
      <c r="C5" s="1540"/>
      <c r="D5" s="1540"/>
      <c r="E5" s="1540"/>
      <c r="F5" s="1540"/>
      <c r="G5" s="1540"/>
      <c r="H5" s="1540"/>
      <c r="I5" s="1540"/>
      <c r="J5" s="1540"/>
      <c r="K5" s="1540"/>
      <c r="L5" s="1208"/>
      <c r="M5" s="1208"/>
    </row>
    <row r="6" spans="1:13" x14ac:dyDescent="0.25">
      <c r="A6" s="6"/>
      <c r="B6" s="2010" t="s">
        <v>1596</v>
      </c>
      <c r="C6" s="2011"/>
      <c r="D6" s="2011"/>
      <c r="E6" s="2011"/>
      <c r="F6" s="2011"/>
      <c r="G6" s="2011"/>
      <c r="H6" s="2011"/>
      <c r="I6" s="2011"/>
      <c r="J6" s="2011"/>
      <c r="K6" s="2012"/>
      <c r="L6" s="1208"/>
      <c r="M6" s="1208"/>
    </row>
    <row r="7" spans="1:13" x14ac:dyDescent="0.25">
      <c r="A7" s="6"/>
      <c r="B7" s="2013"/>
      <c r="C7" s="2014"/>
      <c r="D7" s="2014"/>
      <c r="E7" s="2014"/>
      <c r="F7" s="2014"/>
      <c r="G7" s="2014"/>
      <c r="H7" s="2014"/>
      <c r="I7" s="2014"/>
      <c r="J7" s="2014"/>
      <c r="K7" s="2015"/>
      <c r="L7" s="1208"/>
      <c r="M7" s="1208"/>
    </row>
    <row r="8" spans="1:13" x14ac:dyDescent="0.25">
      <c r="A8" s="6"/>
      <c r="B8" s="2013"/>
      <c r="C8" s="2014"/>
      <c r="D8" s="2014"/>
      <c r="E8" s="2014"/>
      <c r="F8" s="2014"/>
      <c r="G8" s="2014"/>
      <c r="H8" s="2014"/>
      <c r="I8" s="2014"/>
      <c r="J8" s="2014"/>
      <c r="K8" s="2015"/>
      <c r="L8" s="1208"/>
      <c r="M8" s="1208"/>
    </row>
    <row r="9" spans="1:13" x14ac:dyDescent="0.25">
      <c r="A9" s="6"/>
      <c r="B9" s="2013"/>
      <c r="C9" s="2014"/>
      <c r="D9" s="2014"/>
      <c r="E9" s="2014"/>
      <c r="F9" s="2014"/>
      <c r="G9" s="2014"/>
      <c r="H9" s="2014"/>
      <c r="I9" s="2014"/>
      <c r="J9" s="2014"/>
      <c r="K9" s="2015"/>
      <c r="L9" s="1208"/>
      <c r="M9" s="1208"/>
    </row>
    <row r="10" spans="1:13" x14ac:dyDescent="0.25">
      <c r="A10" s="6"/>
      <c r="B10" s="2013"/>
      <c r="C10" s="2014"/>
      <c r="D10" s="2014"/>
      <c r="E10" s="2014"/>
      <c r="F10" s="2014"/>
      <c r="G10" s="2014"/>
      <c r="H10" s="2014"/>
      <c r="I10" s="2014"/>
      <c r="J10" s="2014"/>
      <c r="K10" s="2015"/>
      <c r="L10" s="1208"/>
      <c r="M10" s="1208"/>
    </row>
    <row r="11" spans="1:13" x14ac:dyDescent="0.25">
      <c r="A11" s="6"/>
      <c r="B11" s="2013"/>
      <c r="C11" s="2014"/>
      <c r="D11" s="2014"/>
      <c r="E11" s="2014"/>
      <c r="F11" s="2014"/>
      <c r="G11" s="2014"/>
      <c r="H11" s="2014"/>
      <c r="I11" s="2014"/>
      <c r="J11" s="2014"/>
      <c r="K11" s="2015"/>
      <c r="L11" s="1208"/>
      <c r="M11" s="1208"/>
    </row>
    <row r="12" spans="1:13" x14ac:dyDescent="0.25">
      <c r="A12" s="6"/>
      <c r="B12" s="2013"/>
      <c r="C12" s="2014"/>
      <c r="D12" s="2014"/>
      <c r="E12" s="2014"/>
      <c r="F12" s="2014"/>
      <c r="G12" s="2014"/>
      <c r="H12" s="2014"/>
      <c r="I12" s="2014"/>
      <c r="J12" s="2014"/>
      <c r="K12" s="2015"/>
      <c r="L12" s="1208"/>
      <c r="M12" s="1208"/>
    </row>
    <row r="13" spans="1:13" x14ac:dyDescent="0.25">
      <c r="A13" s="6"/>
      <c r="B13" s="2013"/>
      <c r="C13" s="2014"/>
      <c r="D13" s="2014"/>
      <c r="E13" s="2014"/>
      <c r="F13" s="2014"/>
      <c r="G13" s="2014"/>
      <c r="H13" s="2014"/>
      <c r="I13" s="2014"/>
      <c r="J13" s="2014"/>
      <c r="K13" s="2015"/>
      <c r="L13" s="1208"/>
      <c r="M13" s="1208"/>
    </row>
    <row r="14" spans="1:13" x14ac:dyDescent="0.25">
      <c r="A14" s="6"/>
      <c r="B14" s="2013"/>
      <c r="C14" s="2014"/>
      <c r="D14" s="2014"/>
      <c r="E14" s="2014"/>
      <c r="F14" s="2014"/>
      <c r="G14" s="2014"/>
      <c r="H14" s="2014"/>
      <c r="I14" s="2014"/>
      <c r="J14" s="2014"/>
      <c r="K14" s="2015"/>
      <c r="L14" s="1208"/>
      <c r="M14" s="1208"/>
    </row>
    <row r="15" spans="1:13" x14ac:dyDescent="0.25">
      <c r="A15" s="6"/>
      <c r="B15" s="2013"/>
      <c r="C15" s="2014"/>
      <c r="D15" s="2014"/>
      <c r="E15" s="2014"/>
      <c r="F15" s="2014"/>
      <c r="G15" s="2014"/>
      <c r="H15" s="2014"/>
      <c r="I15" s="2014"/>
      <c r="J15" s="2014"/>
      <c r="K15" s="2015"/>
      <c r="L15" s="1208"/>
      <c r="M15" s="1208"/>
    </row>
    <row r="16" spans="1:13" x14ac:dyDescent="0.25">
      <c r="A16" s="6"/>
      <c r="B16" s="2013"/>
      <c r="C16" s="2014"/>
      <c r="D16" s="2014"/>
      <c r="E16" s="2014"/>
      <c r="F16" s="2014"/>
      <c r="G16" s="2014"/>
      <c r="H16" s="2014"/>
      <c r="I16" s="2014"/>
      <c r="J16" s="2014"/>
      <c r="K16" s="2015"/>
      <c r="L16" s="1208"/>
      <c r="M16" s="1208"/>
    </row>
    <row r="17" spans="1:13" x14ac:dyDescent="0.25">
      <c r="A17" s="6"/>
      <c r="B17" s="2013"/>
      <c r="C17" s="2014"/>
      <c r="D17" s="2014"/>
      <c r="E17" s="2014"/>
      <c r="F17" s="2014"/>
      <c r="G17" s="2014"/>
      <c r="H17" s="2014"/>
      <c r="I17" s="2014"/>
      <c r="J17" s="2014"/>
      <c r="K17" s="2015"/>
      <c r="L17" s="1208"/>
      <c r="M17" s="1208"/>
    </row>
    <row r="18" spans="1:13" x14ac:dyDescent="0.25">
      <c r="A18" s="1208"/>
      <c r="B18" s="2013"/>
      <c r="C18" s="2014"/>
      <c r="D18" s="2014"/>
      <c r="E18" s="2014"/>
      <c r="F18" s="2014"/>
      <c r="G18" s="2014"/>
      <c r="H18" s="2014"/>
      <c r="I18" s="2014"/>
      <c r="J18" s="2014"/>
      <c r="K18" s="2015"/>
      <c r="L18" s="1208"/>
      <c r="M18" s="1208"/>
    </row>
    <row r="19" spans="1:13" x14ac:dyDescent="0.25">
      <c r="A19" s="1208"/>
      <c r="B19" s="2013"/>
      <c r="C19" s="2014"/>
      <c r="D19" s="2014"/>
      <c r="E19" s="2014"/>
      <c r="F19" s="2014"/>
      <c r="G19" s="2014"/>
      <c r="H19" s="2014"/>
      <c r="I19" s="2014"/>
      <c r="J19" s="2014"/>
      <c r="K19" s="2015"/>
      <c r="L19" s="1208"/>
      <c r="M19" s="1208"/>
    </row>
    <row r="20" spans="1:13" x14ac:dyDescent="0.25">
      <c r="A20" s="1208"/>
      <c r="B20" s="2013"/>
      <c r="C20" s="2014"/>
      <c r="D20" s="2014"/>
      <c r="E20" s="2014"/>
      <c r="F20" s="2014"/>
      <c r="G20" s="2014"/>
      <c r="H20" s="2014"/>
      <c r="I20" s="2014"/>
      <c r="J20" s="2014"/>
      <c r="K20" s="2015"/>
      <c r="L20" s="1208"/>
      <c r="M20" s="1208"/>
    </row>
    <row r="21" spans="1:13" x14ac:dyDescent="0.25">
      <c r="A21" s="1208"/>
      <c r="B21" s="2013"/>
      <c r="C21" s="2014"/>
      <c r="D21" s="2014"/>
      <c r="E21" s="2014"/>
      <c r="F21" s="2014"/>
      <c r="G21" s="2014"/>
      <c r="H21" s="2014"/>
      <c r="I21" s="2014"/>
      <c r="J21" s="2014"/>
      <c r="K21" s="2015"/>
      <c r="L21" s="1208"/>
      <c r="M21" s="1208"/>
    </row>
    <row r="22" spans="1:13" x14ac:dyDescent="0.25">
      <c r="A22" s="1208"/>
      <c r="B22" s="2013"/>
      <c r="C22" s="2014"/>
      <c r="D22" s="2014"/>
      <c r="E22" s="2014"/>
      <c r="F22" s="2014"/>
      <c r="G22" s="2014"/>
      <c r="H22" s="2014"/>
      <c r="I22" s="2014"/>
      <c r="J22" s="2014"/>
      <c r="K22" s="2015"/>
      <c r="L22" s="1208"/>
      <c r="M22" s="1208"/>
    </row>
    <row r="23" spans="1:13" x14ac:dyDescent="0.25">
      <c r="A23" s="1208"/>
      <c r="B23" s="2013"/>
      <c r="C23" s="2014"/>
      <c r="D23" s="2014"/>
      <c r="E23" s="2014"/>
      <c r="F23" s="2014"/>
      <c r="G23" s="2014"/>
      <c r="H23" s="2014"/>
      <c r="I23" s="2014"/>
      <c r="J23" s="2014"/>
      <c r="K23" s="2015"/>
      <c r="L23" s="1208"/>
      <c r="M23" s="1208"/>
    </row>
    <row r="24" spans="1:13" x14ac:dyDescent="0.25">
      <c r="A24" s="1208"/>
      <c r="B24" s="2013"/>
      <c r="C24" s="2014"/>
      <c r="D24" s="2014"/>
      <c r="E24" s="2014"/>
      <c r="F24" s="2014"/>
      <c r="G24" s="2014"/>
      <c r="H24" s="2014"/>
      <c r="I24" s="2014"/>
      <c r="J24" s="2014"/>
      <c r="K24" s="2015"/>
      <c r="L24" s="1208"/>
      <c r="M24" s="1208"/>
    </row>
    <row r="25" spans="1:13" x14ac:dyDescent="0.25">
      <c r="A25" s="1208"/>
      <c r="B25" s="2013"/>
      <c r="C25" s="2014"/>
      <c r="D25" s="2014"/>
      <c r="E25" s="2014"/>
      <c r="F25" s="2014"/>
      <c r="G25" s="2014"/>
      <c r="H25" s="2014"/>
      <c r="I25" s="2014"/>
      <c r="J25" s="2014"/>
      <c r="K25" s="2015"/>
      <c r="L25" s="1208"/>
      <c r="M25" s="1208"/>
    </row>
    <row r="26" spans="1:13" x14ac:dyDescent="0.25">
      <c r="A26" s="1208"/>
      <c r="B26" s="2013"/>
      <c r="C26" s="2014"/>
      <c r="D26" s="2014"/>
      <c r="E26" s="2014"/>
      <c r="F26" s="2014"/>
      <c r="G26" s="2014"/>
      <c r="H26" s="2014"/>
      <c r="I26" s="2014"/>
      <c r="J26" s="2014"/>
      <c r="K26" s="2015"/>
      <c r="L26" s="1208"/>
      <c r="M26" s="1208"/>
    </row>
    <row r="27" spans="1:13" x14ac:dyDescent="0.25">
      <c r="A27" s="1208"/>
      <c r="B27" s="2013"/>
      <c r="C27" s="2014"/>
      <c r="D27" s="2014"/>
      <c r="E27" s="2014"/>
      <c r="F27" s="2014"/>
      <c r="G27" s="2014"/>
      <c r="H27" s="2014"/>
      <c r="I27" s="2014"/>
      <c r="J27" s="2014"/>
      <c r="K27" s="2015"/>
      <c r="L27" s="1208"/>
      <c r="M27" s="1208"/>
    </row>
    <row r="28" spans="1:13" x14ac:dyDescent="0.25">
      <c r="A28" s="1208"/>
      <c r="B28" s="2013"/>
      <c r="C28" s="2014"/>
      <c r="D28" s="2014"/>
      <c r="E28" s="2014"/>
      <c r="F28" s="2014"/>
      <c r="G28" s="2014"/>
      <c r="H28" s="2014"/>
      <c r="I28" s="2014"/>
      <c r="J28" s="2014"/>
      <c r="K28" s="2015"/>
      <c r="L28" s="1208"/>
      <c r="M28" s="1208"/>
    </row>
    <row r="29" spans="1:13" x14ac:dyDescent="0.25">
      <c r="A29" s="1208"/>
      <c r="B29" s="2013"/>
      <c r="C29" s="2014"/>
      <c r="D29" s="2014"/>
      <c r="E29" s="2014"/>
      <c r="F29" s="2014"/>
      <c r="G29" s="2014"/>
      <c r="H29" s="2014"/>
      <c r="I29" s="2014"/>
      <c r="J29" s="2014"/>
      <c r="K29" s="2015"/>
      <c r="L29" s="1208"/>
      <c r="M29" s="1208"/>
    </row>
    <row r="30" spans="1:13" x14ac:dyDescent="0.25">
      <c r="A30" s="1208"/>
      <c r="B30" s="2013"/>
      <c r="C30" s="2014"/>
      <c r="D30" s="2014"/>
      <c r="E30" s="2014"/>
      <c r="F30" s="2014"/>
      <c r="G30" s="2014"/>
      <c r="H30" s="2014"/>
      <c r="I30" s="2014"/>
      <c r="J30" s="2014"/>
      <c r="K30" s="2015"/>
      <c r="L30" s="1208"/>
      <c r="M30" s="1208"/>
    </row>
    <row r="31" spans="1:13" x14ac:dyDescent="0.25">
      <c r="A31" s="1208"/>
      <c r="B31" s="2013"/>
      <c r="C31" s="2014"/>
      <c r="D31" s="2014"/>
      <c r="E31" s="2014"/>
      <c r="F31" s="2014"/>
      <c r="G31" s="2014"/>
      <c r="H31" s="2014"/>
      <c r="I31" s="2014"/>
      <c r="J31" s="2014"/>
      <c r="K31" s="2015"/>
      <c r="L31" s="1208"/>
      <c r="M31" s="1208"/>
    </row>
    <row r="32" spans="1:13" x14ac:dyDescent="0.25">
      <c r="A32" s="1208"/>
      <c r="B32" s="2013"/>
      <c r="C32" s="2014"/>
      <c r="D32" s="2014"/>
      <c r="E32" s="2014"/>
      <c r="F32" s="2014"/>
      <c r="G32" s="2014"/>
      <c r="H32" s="2014"/>
      <c r="I32" s="2014"/>
      <c r="J32" s="2014"/>
      <c r="K32" s="2015"/>
      <c r="L32" s="1208"/>
      <c r="M32" s="1208"/>
    </row>
    <row r="33" spans="1:13" x14ac:dyDescent="0.25">
      <c r="A33" s="1208"/>
      <c r="B33" s="2013"/>
      <c r="C33" s="2014"/>
      <c r="D33" s="2014"/>
      <c r="E33" s="2014"/>
      <c r="F33" s="2014"/>
      <c r="G33" s="2014"/>
      <c r="H33" s="2014"/>
      <c r="I33" s="2014"/>
      <c r="J33" s="2014"/>
      <c r="K33" s="2015"/>
      <c r="L33" s="1208"/>
      <c r="M33" s="1208"/>
    </row>
    <row r="34" spans="1:13" x14ac:dyDescent="0.25">
      <c r="A34" s="1208"/>
      <c r="B34" s="2013"/>
      <c r="C34" s="2014"/>
      <c r="D34" s="2014"/>
      <c r="E34" s="2014"/>
      <c r="F34" s="2014"/>
      <c r="G34" s="2014"/>
      <c r="H34" s="2014"/>
      <c r="I34" s="2014"/>
      <c r="J34" s="2014"/>
      <c r="K34" s="2015"/>
      <c r="L34" s="1208"/>
      <c r="M34" s="1208"/>
    </row>
    <row r="35" spans="1:13" x14ac:dyDescent="0.25">
      <c r="A35" s="1208"/>
      <c r="B35" s="2013"/>
      <c r="C35" s="2014"/>
      <c r="D35" s="2014"/>
      <c r="E35" s="2014"/>
      <c r="F35" s="2014"/>
      <c r="G35" s="2014"/>
      <c r="H35" s="2014"/>
      <c r="I35" s="2014"/>
      <c r="J35" s="2014"/>
      <c r="K35" s="2015"/>
      <c r="L35" s="1208"/>
      <c r="M35" s="1208"/>
    </row>
    <row r="36" spans="1:13" x14ac:dyDescent="0.25">
      <c r="A36" s="1208"/>
      <c r="B36" s="2013"/>
      <c r="C36" s="2014"/>
      <c r="D36" s="2014"/>
      <c r="E36" s="2014"/>
      <c r="F36" s="2014"/>
      <c r="G36" s="2014"/>
      <c r="H36" s="2014"/>
      <c r="I36" s="2014"/>
      <c r="J36" s="2014"/>
      <c r="K36" s="2015"/>
      <c r="L36" s="1208"/>
      <c r="M36" s="1208"/>
    </row>
    <row r="37" spans="1:13" x14ac:dyDescent="0.25">
      <c r="A37" s="1208"/>
      <c r="B37" s="2013"/>
      <c r="C37" s="2014"/>
      <c r="D37" s="2014"/>
      <c r="E37" s="2014"/>
      <c r="F37" s="2014"/>
      <c r="G37" s="2014"/>
      <c r="H37" s="2014"/>
      <c r="I37" s="2014"/>
      <c r="J37" s="2014"/>
      <c r="K37" s="2015"/>
      <c r="L37" s="1208"/>
      <c r="M37" s="1208"/>
    </row>
    <row r="38" spans="1:13" ht="15.75" thickBot="1" x14ac:dyDescent="0.3">
      <c r="A38" s="1208"/>
      <c r="B38" s="2016"/>
      <c r="C38" s="2017"/>
      <c r="D38" s="2017"/>
      <c r="E38" s="2017"/>
      <c r="F38" s="2017"/>
      <c r="G38" s="2017"/>
      <c r="H38" s="2017"/>
      <c r="I38" s="2017"/>
      <c r="J38" s="2017"/>
      <c r="K38" s="2018"/>
      <c r="L38" s="1208"/>
      <c r="M38" s="1208"/>
    </row>
    <row r="39" spans="1:13" x14ac:dyDescent="0.25">
      <c r="A39" s="1208"/>
      <c r="B39" s="1208"/>
      <c r="C39" s="1208"/>
      <c r="D39" s="1208"/>
      <c r="E39" s="1208"/>
      <c r="F39" s="1208"/>
      <c r="G39" s="1208"/>
      <c r="H39" s="1208"/>
      <c r="I39" s="1208"/>
      <c r="J39" s="1208"/>
      <c r="K39" s="1208"/>
      <c r="L39" s="1208"/>
      <c r="M39" s="1208"/>
    </row>
    <row r="40" spans="1:13" hidden="1" x14ac:dyDescent="0.25"/>
    <row r="41" spans="1:13" hidden="1" x14ac:dyDescent="0.25"/>
    <row r="42" spans="1:13" x14ac:dyDescent="0.25"/>
    <row r="43" spans="1:13" x14ac:dyDescent="0.25"/>
  </sheetData>
  <sheetProtection password="E915" sheet="1" objects="1" scenarios="1" selectLockedCells="1" selectUnlockedCells="1"/>
  <mergeCells count="2">
    <mergeCell ref="B5:K5"/>
    <mergeCell ref="B6:K38"/>
  </mergeCells>
  <pageMargins left="0.511811024" right="0.511811024" top="0.78740157499999996" bottom="0.78740157499999996" header="0.31496062000000002" footer="0.31496062000000002"/>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F6F6E"/>
  </sheetPr>
  <dimension ref="A1:H50"/>
  <sheetViews>
    <sheetView showGridLines="0" workbookViewId="0">
      <selection sqref="A1:H1"/>
    </sheetView>
  </sheetViews>
  <sheetFormatPr defaultColWidth="0" defaultRowHeight="15" zeroHeight="1" x14ac:dyDescent="0.25"/>
  <cols>
    <col min="1" max="1" width="57" style="12" bestFit="1" customWidth="1"/>
    <col min="2" max="2" width="58.85546875" style="12" customWidth="1"/>
    <col min="3" max="3" width="17.5703125" style="12" customWidth="1"/>
    <col min="4" max="4" width="8.85546875" style="12" customWidth="1"/>
    <col min="5" max="6" width="8.85546875" style="12" hidden="1" customWidth="1"/>
    <col min="7" max="7" width="12.85546875" style="12" hidden="1" customWidth="1"/>
    <col min="8" max="8" width="18.28515625" style="12" hidden="1" customWidth="1"/>
    <col min="9" max="11" width="0" style="12" hidden="1" customWidth="1"/>
    <col min="12" max="16384" width="0" style="12" hidden="1"/>
  </cols>
  <sheetData>
    <row r="1" spans="1:8" ht="15.75" x14ac:dyDescent="0.25">
      <c r="A1" s="1699" t="s">
        <v>1284</v>
      </c>
      <c r="B1" s="1699"/>
      <c r="C1" s="1699"/>
      <c r="D1" s="1699"/>
      <c r="E1" s="1699"/>
      <c r="F1" s="1699"/>
      <c r="G1" s="1699"/>
      <c r="H1" s="1699"/>
    </row>
    <row r="2" spans="1:8" ht="15.75" x14ac:dyDescent="0.25">
      <c r="A2" s="1660" t="s">
        <v>418</v>
      </c>
      <c r="B2" s="1660"/>
      <c r="C2" s="1660"/>
      <c r="D2" s="1660"/>
    </row>
    <row r="3" spans="1:8" s="85" customFormat="1" ht="15.75" x14ac:dyDescent="0.25">
      <c r="A3" s="1399"/>
      <c r="B3" s="1399"/>
      <c r="C3" s="1399"/>
    </row>
    <row r="4" spans="1:8" s="85" customFormat="1" ht="15.75" x14ac:dyDescent="0.25">
      <c r="A4" s="1399"/>
      <c r="B4" s="1399"/>
      <c r="C4" s="1399"/>
    </row>
    <row r="5" spans="1:8" ht="15.75" customHeight="1" x14ac:dyDescent="0.25">
      <c r="A5" s="1698" t="s">
        <v>482</v>
      </c>
      <c r="B5" s="1698"/>
      <c r="C5" s="1698"/>
    </row>
    <row r="6" spans="1:8" x14ac:dyDescent="0.25">
      <c r="A6" s="1014" t="s">
        <v>29</v>
      </c>
      <c r="B6" s="1014" t="s">
        <v>481</v>
      </c>
      <c r="C6" s="1014" t="s">
        <v>30</v>
      </c>
    </row>
    <row r="7" spans="1:8" x14ac:dyDescent="0.25">
      <c r="A7" s="1060" t="s">
        <v>12</v>
      </c>
      <c r="B7" s="1059"/>
      <c r="C7" s="1059"/>
    </row>
    <row r="8" spans="1:8" x14ac:dyDescent="0.25">
      <c r="A8" s="1056" t="s">
        <v>41</v>
      </c>
      <c r="B8" s="1057" t="s">
        <v>472</v>
      </c>
      <c r="C8" s="1058" t="s">
        <v>723</v>
      </c>
    </row>
    <row r="9" spans="1:8" ht="45" x14ac:dyDescent="0.25">
      <c r="A9" s="1056" t="s">
        <v>28</v>
      </c>
      <c r="B9" s="1057" t="s">
        <v>473</v>
      </c>
      <c r="C9" s="1058" t="s">
        <v>1448</v>
      </c>
    </row>
    <row r="10" spans="1:8" ht="60" x14ac:dyDescent="0.25">
      <c r="A10" s="1056" t="s">
        <v>474</v>
      </c>
      <c r="B10" s="1057" t="s">
        <v>475</v>
      </c>
      <c r="C10" s="1058" t="s">
        <v>1449</v>
      </c>
    </row>
    <row r="11" spans="1:8" ht="60" x14ac:dyDescent="0.25">
      <c r="A11" s="1056" t="s">
        <v>476</v>
      </c>
      <c r="B11" s="1057" t="s">
        <v>1548</v>
      </c>
      <c r="C11" s="1058" t="s">
        <v>723</v>
      </c>
    </row>
    <row r="12" spans="1:8" ht="45" x14ac:dyDescent="0.25">
      <c r="A12" s="1013" t="s">
        <v>485</v>
      </c>
      <c r="B12" s="1057" t="s">
        <v>486</v>
      </c>
      <c r="C12" s="1058" t="s">
        <v>1303</v>
      </c>
    </row>
    <row r="13" spans="1:8" x14ac:dyDescent="0.25">
      <c r="A13" s="1056" t="s">
        <v>478</v>
      </c>
      <c r="B13" s="1057" t="s">
        <v>477</v>
      </c>
      <c r="C13" s="1058" t="s">
        <v>723</v>
      </c>
    </row>
    <row r="14" spans="1:8" ht="60" x14ac:dyDescent="0.25">
      <c r="A14" s="1056" t="s">
        <v>479</v>
      </c>
      <c r="B14" s="1057" t="s">
        <v>480</v>
      </c>
      <c r="C14" s="592" t="s">
        <v>1300</v>
      </c>
    </row>
    <row r="15" spans="1:8" x14ac:dyDescent="0.25">
      <c r="A15" s="1148" t="s">
        <v>116</v>
      </c>
      <c r="B15" s="1148" t="s">
        <v>419</v>
      </c>
      <c r="C15" s="1149"/>
    </row>
    <row r="16" spans="1:8" x14ac:dyDescent="0.25">
      <c r="A16" s="1058" t="s">
        <v>420</v>
      </c>
      <c r="B16" s="1058" t="s">
        <v>421</v>
      </c>
      <c r="C16" s="1058" t="s">
        <v>1450</v>
      </c>
    </row>
    <row r="17" spans="1:3" x14ac:dyDescent="0.25">
      <c r="A17" s="1058" t="s">
        <v>422</v>
      </c>
      <c r="B17" s="1058" t="s">
        <v>423</v>
      </c>
      <c r="C17" s="1058" t="s">
        <v>1392</v>
      </c>
    </row>
    <row r="18" spans="1:3" x14ac:dyDescent="0.25">
      <c r="A18" s="1058" t="s">
        <v>424</v>
      </c>
      <c r="B18" s="1058" t="s">
        <v>425</v>
      </c>
      <c r="C18" s="1058" t="s">
        <v>1422</v>
      </c>
    </row>
    <row r="19" spans="1:3" x14ac:dyDescent="0.25">
      <c r="A19" s="1058" t="s">
        <v>426</v>
      </c>
      <c r="B19" s="1058" t="s">
        <v>427</v>
      </c>
      <c r="C19" s="1058" t="s">
        <v>1423</v>
      </c>
    </row>
    <row r="20" spans="1:3" x14ac:dyDescent="0.25">
      <c r="A20" s="1058" t="s">
        <v>428</v>
      </c>
      <c r="B20" s="1058" t="s">
        <v>429</v>
      </c>
      <c r="C20" s="1058" t="s">
        <v>1424</v>
      </c>
    </row>
    <row r="21" spans="1:3" x14ac:dyDescent="0.25">
      <c r="A21" s="1058" t="s">
        <v>430</v>
      </c>
      <c r="B21" s="1058" t="s">
        <v>431</v>
      </c>
      <c r="C21" s="1058" t="s">
        <v>1425</v>
      </c>
    </row>
    <row r="22" spans="1:3" x14ac:dyDescent="0.25">
      <c r="A22" s="1058" t="s">
        <v>432</v>
      </c>
      <c r="B22" s="1058" t="s">
        <v>433</v>
      </c>
      <c r="C22" s="1058" t="s">
        <v>1425</v>
      </c>
    </row>
    <row r="23" spans="1:3" x14ac:dyDescent="0.25">
      <c r="A23" s="1058" t="s">
        <v>434</v>
      </c>
      <c r="B23" s="1058" t="s">
        <v>435</v>
      </c>
      <c r="C23" s="1058" t="s">
        <v>1427</v>
      </c>
    </row>
    <row r="24" spans="1:3" x14ac:dyDescent="0.25">
      <c r="A24" s="1058" t="s">
        <v>436</v>
      </c>
      <c r="B24" s="1058" t="s">
        <v>437</v>
      </c>
      <c r="C24" s="1058" t="s">
        <v>1451</v>
      </c>
    </row>
    <row r="25" spans="1:3" x14ac:dyDescent="0.25">
      <c r="A25" s="1058" t="s">
        <v>438</v>
      </c>
      <c r="B25" s="1058" t="s">
        <v>439</v>
      </c>
      <c r="C25" s="1058" t="s">
        <v>1452</v>
      </c>
    </row>
    <row r="26" spans="1:3" x14ac:dyDescent="0.25">
      <c r="A26" s="1058" t="s">
        <v>440</v>
      </c>
      <c r="B26" s="1058" t="s">
        <v>441</v>
      </c>
      <c r="C26" s="1058" t="s">
        <v>1453</v>
      </c>
    </row>
    <row r="27" spans="1:3" x14ac:dyDescent="0.25">
      <c r="A27" s="1058" t="s">
        <v>442</v>
      </c>
      <c r="B27" s="1058" t="s">
        <v>443</v>
      </c>
      <c r="C27" s="1058" t="s">
        <v>1429</v>
      </c>
    </row>
    <row r="28" spans="1:3" x14ac:dyDescent="0.25">
      <c r="A28" s="1058" t="s">
        <v>445</v>
      </c>
      <c r="B28" s="1058" t="s">
        <v>446</v>
      </c>
      <c r="C28" s="1058" t="s">
        <v>1454</v>
      </c>
    </row>
    <row r="29" spans="1:3" x14ac:dyDescent="0.25">
      <c r="A29" s="1058" t="s">
        <v>447</v>
      </c>
      <c r="B29" s="1058" t="s">
        <v>448</v>
      </c>
      <c r="C29" s="1058" t="s">
        <v>1432</v>
      </c>
    </row>
    <row r="30" spans="1:3" x14ac:dyDescent="0.25">
      <c r="A30" s="1058" t="s">
        <v>449</v>
      </c>
      <c r="B30" s="1058" t="s">
        <v>450</v>
      </c>
      <c r="C30" s="1058" t="s">
        <v>1433</v>
      </c>
    </row>
    <row r="31" spans="1:3" x14ac:dyDescent="0.25">
      <c r="A31" s="1058" t="s">
        <v>96</v>
      </c>
      <c r="B31" s="1058" t="s">
        <v>451</v>
      </c>
      <c r="C31" s="1058" t="s">
        <v>1434</v>
      </c>
    </row>
    <row r="32" spans="1:3" x14ac:dyDescent="0.25">
      <c r="A32" s="1058" t="s">
        <v>84</v>
      </c>
      <c r="B32" s="1058" t="s">
        <v>452</v>
      </c>
      <c r="C32" s="1058" t="s">
        <v>1435</v>
      </c>
    </row>
    <row r="33" spans="1:3" x14ac:dyDescent="0.25">
      <c r="A33" s="1058" t="s">
        <v>453</v>
      </c>
      <c r="B33" s="1058" t="s">
        <v>454</v>
      </c>
      <c r="C33" s="1058" t="s">
        <v>1436</v>
      </c>
    </row>
    <row r="34" spans="1:3" x14ac:dyDescent="0.25">
      <c r="A34" s="1058" t="s">
        <v>455</v>
      </c>
      <c r="B34" s="1058" t="s">
        <v>456</v>
      </c>
      <c r="C34" s="1058" t="s">
        <v>1437</v>
      </c>
    </row>
    <row r="35" spans="1:3" x14ac:dyDescent="0.25">
      <c r="A35" s="1058" t="s">
        <v>457</v>
      </c>
      <c r="B35" s="1058" t="s">
        <v>458</v>
      </c>
      <c r="C35" s="1058" t="s">
        <v>1439</v>
      </c>
    </row>
    <row r="36" spans="1:3" x14ac:dyDescent="0.25">
      <c r="A36" s="1058" t="s">
        <v>459</v>
      </c>
      <c r="B36" s="1058" t="s">
        <v>460</v>
      </c>
      <c r="C36" s="1058" t="s">
        <v>1442</v>
      </c>
    </row>
    <row r="37" spans="1:3" x14ac:dyDescent="0.25">
      <c r="A37" s="1148" t="s">
        <v>461</v>
      </c>
      <c r="B37" s="1148" t="s">
        <v>419</v>
      </c>
      <c r="C37" s="1149"/>
    </row>
    <row r="38" spans="1:3" x14ac:dyDescent="0.25">
      <c r="A38" s="1058" t="s">
        <v>339</v>
      </c>
      <c r="B38" s="1058" t="s">
        <v>462</v>
      </c>
      <c r="C38" s="1058" t="s">
        <v>1303</v>
      </c>
    </row>
    <row r="39" spans="1:3" x14ac:dyDescent="0.25">
      <c r="A39" s="1058" t="s">
        <v>342</v>
      </c>
      <c r="B39" s="1058" t="s">
        <v>463</v>
      </c>
      <c r="C39" s="1058" t="s">
        <v>1303</v>
      </c>
    </row>
    <row r="40" spans="1:3" x14ac:dyDescent="0.25">
      <c r="A40" s="1058" t="s">
        <v>464</v>
      </c>
      <c r="B40" s="1058" t="s">
        <v>463</v>
      </c>
      <c r="C40" s="1058" t="s">
        <v>1303</v>
      </c>
    </row>
    <row r="41" spans="1:3" x14ac:dyDescent="0.25">
      <c r="A41" s="1058" t="s">
        <v>363</v>
      </c>
      <c r="B41" s="1058" t="s">
        <v>465</v>
      </c>
      <c r="C41" s="1058" t="s">
        <v>1303</v>
      </c>
    </row>
    <row r="42" spans="1:3" x14ac:dyDescent="0.25">
      <c r="A42" s="1058" t="s">
        <v>364</v>
      </c>
      <c r="B42" s="1058" t="s">
        <v>466</v>
      </c>
      <c r="C42" s="1058" t="s">
        <v>1303</v>
      </c>
    </row>
    <row r="43" spans="1:3" x14ac:dyDescent="0.25">
      <c r="A43" s="1058" t="s">
        <v>467</v>
      </c>
      <c r="B43" s="1058" t="s">
        <v>468</v>
      </c>
      <c r="C43" s="1058" t="s">
        <v>1455</v>
      </c>
    </row>
    <row r="44" spans="1:3" x14ac:dyDescent="0.25">
      <c r="A44" s="1058" t="s">
        <v>358</v>
      </c>
      <c r="B44" s="1058" t="s">
        <v>463</v>
      </c>
      <c r="C44" s="1058" t="s">
        <v>1303</v>
      </c>
    </row>
    <row r="45" spans="1:3" x14ac:dyDescent="0.25">
      <c r="A45" s="1058" t="s">
        <v>469</v>
      </c>
      <c r="B45" s="1058" t="s">
        <v>463</v>
      </c>
      <c r="C45" s="1058" t="s">
        <v>1303</v>
      </c>
    </row>
    <row r="46" spans="1:3" x14ac:dyDescent="0.25">
      <c r="A46" s="1058" t="s">
        <v>370</v>
      </c>
      <c r="B46" s="1058" t="s">
        <v>462</v>
      </c>
      <c r="C46" s="1058" t="s">
        <v>1303</v>
      </c>
    </row>
    <row r="47" spans="1:3" x14ac:dyDescent="0.25">
      <c r="A47" s="1058" t="s">
        <v>470</v>
      </c>
      <c r="B47" s="1058" t="s">
        <v>471</v>
      </c>
      <c r="C47" s="1058" t="s">
        <v>1303</v>
      </c>
    </row>
    <row r="48" spans="1:3" x14ac:dyDescent="0.25"/>
    <row r="49" x14ac:dyDescent="0.25"/>
    <row r="50" x14ac:dyDescent="0.25"/>
  </sheetData>
  <sheetProtection sheet="1" objects="1" scenarios="1" selectLockedCells="1" selectUnlockedCells="1"/>
  <mergeCells count="3">
    <mergeCell ref="A5:C5"/>
    <mergeCell ref="A1:H1"/>
    <mergeCell ref="A2:D2"/>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enableFormatConditionsCalculation="0">
    <tabColor rgb="FF00A039"/>
  </sheetPr>
  <dimension ref="A1:IH330"/>
  <sheetViews>
    <sheetView showGridLines="0" zoomScaleNormal="100" workbookViewId="0"/>
  </sheetViews>
  <sheetFormatPr defaultColWidth="0" defaultRowHeight="12.75" zeroHeight="1" outlineLevelRow="1" x14ac:dyDescent="0.2"/>
  <cols>
    <col min="1" max="1" width="5.28515625" style="206" customWidth="1"/>
    <col min="2" max="2" width="6.140625" style="206" customWidth="1"/>
    <col min="3" max="3" width="10" style="206" customWidth="1"/>
    <col min="4" max="8" width="12.7109375" style="206" customWidth="1"/>
    <col min="9" max="9" width="12.28515625" style="206" customWidth="1"/>
    <col min="10" max="10" width="25.7109375" style="206" customWidth="1"/>
    <col min="11" max="11" width="11.42578125" style="206" customWidth="1"/>
    <col min="12" max="12" width="17.42578125" style="206" customWidth="1"/>
    <col min="13" max="13" width="11.7109375" style="206" customWidth="1"/>
    <col min="14" max="14" width="11.85546875" style="206" customWidth="1"/>
    <col min="15" max="15" width="6" style="206" customWidth="1"/>
    <col min="16" max="16" width="10.7109375" style="206" hidden="1" customWidth="1"/>
    <col min="17" max="17" width="10.7109375" style="206" customWidth="1"/>
    <col min="18" max="24" width="10.7109375" style="206" hidden="1" customWidth="1"/>
    <col min="25" max="238" width="8.85546875" style="206" hidden="1" customWidth="1"/>
    <col min="239" max="239" width="26.140625" style="206" hidden="1" customWidth="1"/>
    <col min="240" max="240" width="11.7109375" style="206" hidden="1" customWidth="1"/>
    <col min="241" max="241" width="36.42578125" style="206" hidden="1" customWidth="1"/>
    <col min="242" max="242" width="16.42578125" style="206" hidden="1" customWidth="1"/>
    <col min="243" max="16384" width="10.7109375" style="206" hidden="1"/>
  </cols>
  <sheetData>
    <row r="1" spans="1:15" ht="18.75" customHeight="1" x14ac:dyDescent="0.25">
      <c r="A1" s="485"/>
      <c r="B1" s="1596" t="s">
        <v>1131</v>
      </c>
      <c r="C1" s="1597"/>
      <c r="D1" s="1597"/>
      <c r="E1" s="1597"/>
      <c r="F1" s="1597"/>
      <c r="G1" s="1597"/>
      <c r="H1" s="1597"/>
      <c r="I1" s="1597"/>
      <c r="J1" s="1597"/>
      <c r="K1" s="1597"/>
      <c r="L1" s="1597"/>
      <c r="M1" s="1597"/>
      <c r="N1" s="1597"/>
      <c r="O1" s="485"/>
    </row>
    <row r="2" spans="1:15" s="12" customFormat="1" ht="15" customHeight="1" x14ac:dyDescent="0.3">
      <c r="B2" s="285"/>
      <c r="C2" s="34"/>
      <c r="D2" s="286"/>
      <c r="E2" s="286"/>
      <c r="F2" s="286"/>
      <c r="G2" s="13"/>
      <c r="H2" s="13"/>
      <c r="I2" s="13"/>
      <c r="J2" s="13"/>
      <c r="K2" s="13"/>
      <c r="L2" s="13"/>
      <c r="M2" s="13"/>
      <c r="N2" s="287"/>
    </row>
    <row r="3" spans="1:15" s="12" customFormat="1" ht="27" customHeight="1" x14ac:dyDescent="0.25">
      <c r="B3" s="285"/>
      <c r="C3" s="1725" t="s">
        <v>1155</v>
      </c>
      <c r="D3" s="1725"/>
      <c r="E3" s="1725"/>
      <c r="F3" s="1725"/>
      <c r="G3" s="1725"/>
      <c r="H3" s="1725"/>
      <c r="I3" s="1725"/>
      <c r="J3" s="1725"/>
      <c r="K3" s="1725"/>
      <c r="L3" s="439"/>
      <c r="M3" s="439"/>
      <c r="N3" s="299"/>
    </row>
    <row r="4" spans="1:15" s="12" customFormat="1" ht="13.5" customHeight="1" x14ac:dyDescent="0.25">
      <c r="B4" s="285"/>
      <c r="C4" s="1377"/>
      <c r="D4" s="1377"/>
      <c r="E4" s="1377"/>
      <c r="F4" s="1377"/>
      <c r="G4" s="1377"/>
      <c r="H4" s="1377"/>
      <c r="I4" s="1377"/>
      <c r="J4" s="1377"/>
      <c r="K4" s="1377"/>
      <c r="L4" s="1375"/>
      <c r="M4" s="1375"/>
      <c r="N4" s="299"/>
    </row>
    <row r="5" spans="1:15" s="12" customFormat="1" ht="18.75" x14ac:dyDescent="0.3">
      <c r="B5" s="285"/>
      <c r="C5" s="288" t="s">
        <v>1266</v>
      </c>
      <c r="D5" s="286"/>
      <c r="E5" s="286"/>
      <c r="F5" s="286"/>
      <c r="G5" s="13"/>
      <c r="H5" s="13"/>
      <c r="I5" s="13"/>
      <c r="J5" s="13"/>
      <c r="K5" s="13"/>
      <c r="L5" s="13"/>
      <c r="M5" s="13"/>
      <c r="N5" s="287"/>
    </row>
    <row r="6" spans="1:15" x14ac:dyDescent="0.2">
      <c r="B6" s="289"/>
      <c r="C6" s="216"/>
      <c r="D6" s="216"/>
      <c r="E6" s="216"/>
      <c r="F6" s="216"/>
      <c r="G6" s="216"/>
      <c r="H6" s="216"/>
      <c r="I6" s="216"/>
      <c r="J6" s="216"/>
      <c r="K6" s="216"/>
      <c r="L6" s="216"/>
      <c r="M6" s="216"/>
      <c r="N6" s="290"/>
    </row>
    <row r="7" spans="1:15" ht="15" customHeight="1" x14ac:dyDescent="0.2">
      <c r="A7" s="290"/>
      <c r="B7" s="1704" t="s">
        <v>495</v>
      </c>
      <c r="C7" s="1705"/>
      <c r="D7" s="1705"/>
      <c r="E7" s="1705"/>
      <c r="F7" s="1705"/>
      <c r="G7" s="1705"/>
      <c r="H7" s="1705"/>
      <c r="I7" s="1705"/>
      <c r="J7" s="1705"/>
      <c r="K7" s="1705"/>
      <c r="L7" s="1705"/>
      <c r="M7" s="1705"/>
      <c r="N7" s="1706"/>
    </row>
    <row r="8" spans="1:15" ht="15" hidden="1" customHeight="1" outlineLevel="1" x14ac:dyDescent="0.2">
      <c r="A8" s="290"/>
      <c r="B8" s="216"/>
      <c r="C8" s="216"/>
      <c r="D8" s="282" t="s">
        <v>534</v>
      </c>
      <c r="E8" s="300"/>
      <c r="F8" s="300"/>
      <c r="G8" s="300"/>
      <c r="H8" s="300"/>
      <c r="I8" s="300"/>
      <c r="J8" s="283" t="s">
        <v>504</v>
      </c>
      <c r="K8" s="1409" t="s">
        <v>30</v>
      </c>
      <c r="L8" s="284" t="s">
        <v>1156</v>
      </c>
      <c r="M8" s="216"/>
      <c r="N8" s="290"/>
    </row>
    <row r="9" spans="1:15" ht="16.5" hidden="1" outlineLevel="1" x14ac:dyDescent="0.3">
      <c r="A9" s="290"/>
      <c r="B9" s="216"/>
      <c r="C9" s="216"/>
      <c r="D9" s="257" t="s">
        <v>1328</v>
      </c>
      <c r="E9" s="578"/>
      <c r="F9" s="578"/>
      <c r="G9" s="578"/>
      <c r="H9" s="578"/>
      <c r="I9" s="578"/>
      <c r="J9" s="529">
        <f>SUM(J10:J13)</f>
        <v>0</v>
      </c>
      <c r="K9" s="1401" t="s">
        <v>1119</v>
      </c>
      <c r="L9" s="1719" t="s">
        <v>1343</v>
      </c>
      <c r="M9" s="216"/>
      <c r="N9" s="290"/>
    </row>
    <row r="10" spans="1:15" ht="15" hidden="1" customHeight="1" outlineLevel="1" x14ac:dyDescent="0.25">
      <c r="A10" s="290"/>
      <c r="B10" s="216"/>
      <c r="C10" s="216"/>
      <c r="D10" s="302"/>
      <c r="E10" s="292"/>
      <c r="F10" s="292"/>
      <c r="G10" s="292"/>
      <c r="H10" s="292"/>
      <c r="I10" s="1147" t="s">
        <v>596</v>
      </c>
      <c r="J10" s="516"/>
      <c r="K10" s="1401" t="s">
        <v>1119</v>
      </c>
      <c r="L10" s="1719"/>
      <c r="M10" s="216"/>
      <c r="N10" s="290"/>
    </row>
    <row r="11" spans="1:15" ht="15" hidden="1" outlineLevel="1" x14ac:dyDescent="0.25">
      <c r="A11" s="290"/>
      <c r="B11" s="216"/>
      <c r="C11" s="216"/>
      <c r="D11" s="302"/>
      <c r="E11" s="292"/>
      <c r="F11" s="292"/>
      <c r="G11" s="292"/>
      <c r="H11" s="292"/>
      <c r="I11" s="1147" t="s">
        <v>597</v>
      </c>
      <c r="J11" s="510"/>
      <c r="K11" s="366" t="s">
        <v>1119</v>
      </c>
      <c r="L11" s="1719"/>
      <c r="M11" s="216"/>
      <c r="N11" s="290"/>
    </row>
    <row r="12" spans="1:15" ht="15" hidden="1" outlineLevel="1" x14ac:dyDescent="0.25">
      <c r="A12" s="290"/>
      <c r="B12" s="216"/>
      <c r="C12" s="216"/>
      <c r="D12" s="302"/>
      <c r="E12" s="292"/>
      <c r="F12" s="292"/>
      <c r="G12" s="292"/>
      <c r="H12" s="292"/>
      <c r="I12" s="1147" t="s">
        <v>598</v>
      </c>
      <c r="J12" s="510"/>
      <c r="K12" s="366" t="s">
        <v>1119</v>
      </c>
      <c r="L12" s="1719"/>
      <c r="M12" s="216"/>
      <c r="N12" s="290"/>
    </row>
    <row r="13" spans="1:15" ht="15" hidden="1" outlineLevel="1" x14ac:dyDescent="0.25">
      <c r="A13" s="290"/>
      <c r="B13" s="216"/>
      <c r="C13" s="216"/>
      <c r="D13" s="302"/>
      <c r="E13" s="292"/>
      <c r="F13" s="292"/>
      <c r="G13" s="292"/>
      <c r="H13" s="292"/>
      <c r="I13" s="1147" t="s">
        <v>599</v>
      </c>
      <c r="J13" s="510"/>
      <c r="K13" s="366" t="s">
        <v>1119</v>
      </c>
      <c r="L13" s="1720"/>
      <c r="M13" s="216"/>
      <c r="N13" s="290"/>
    </row>
    <row r="14" spans="1:15" ht="31.5" hidden="1" customHeight="1" outlineLevel="1" x14ac:dyDescent="0.25">
      <c r="A14" s="290"/>
      <c r="B14" s="216"/>
      <c r="C14" s="216"/>
      <c r="D14" s="1726" t="s">
        <v>1272</v>
      </c>
      <c r="E14" s="1727"/>
      <c r="F14" s="1727"/>
      <c r="G14" s="1727"/>
      <c r="H14" s="1727"/>
      <c r="I14" s="1727"/>
      <c r="J14" s="531"/>
      <c r="K14" s="1402" t="s">
        <v>1136</v>
      </c>
      <c r="L14" s="515" t="s">
        <v>1268</v>
      </c>
      <c r="M14" s="216"/>
      <c r="N14" s="290"/>
    </row>
    <row r="15" spans="1:15" ht="15" hidden="1" customHeight="1" outlineLevel="1" x14ac:dyDescent="0.25">
      <c r="A15" s="290"/>
      <c r="B15" s="216"/>
      <c r="C15" s="216"/>
      <c r="D15" s="1709" t="s">
        <v>1327</v>
      </c>
      <c r="E15" s="1710"/>
      <c r="F15" s="1710"/>
      <c r="G15" s="1710"/>
      <c r="H15" s="1710"/>
      <c r="I15" s="1710"/>
      <c r="J15" s="636" t="str">
        <f>IFERROR(IF($J$14="",IF($J$16="Amazônia",VLOOKUP(J17,'Apoio_Regulação do clima global'!B27:D56,3,0),IF(J16="Caatinga",VLOOKUP(J17,'Apoio_Regulação do clima global'!B60:D82,3,0),IF(J16="Cerrado",VLOOKUP(J17,'Apoio_Regulação do clima global'!B86:D113,3,0),IF(J16="Mata Atlântica",VLOOKUP(J17,'Apoio_Regulação do clima global'!B117:D152,3,0),IF(J16="Pampa",VLOOKUP(J17,'Apoio_Regulação do clima global'!B156:D173,3,0),IF(J16="Pantanal",VLOOKUP(J17,'Apoio_Regulação do clima global'!B177:D191,3,0),"")))))),""),"")</f>
        <v/>
      </c>
      <c r="K15" s="1407" t="str">
        <f>IF(J15="","","tCO2e/ha")</f>
        <v/>
      </c>
      <c r="L15" s="370"/>
      <c r="M15" s="216"/>
      <c r="N15" s="290"/>
    </row>
    <row r="16" spans="1:15" ht="15" hidden="1" outlineLevel="1" x14ac:dyDescent="0.25">
      <c r="A16" s="290"/>
      <c r="B16" s="216"/>
      <c r="C16" s="216"/>
      <c r="D16" s="1702" t="s">
        <v>1182</v>
      </c>
      <c r="E16" s="1703"/>
      <c r="F16" s="1703"/>
      <c r="G16" s="1703"/>
      <c r="H16" s="1703"/>
      <c r="I16" s="1703"/>
      <c r="J16" s="518" t="s">
        <v>12</v>
      </c>
      <c r="K16" s="366"/>
      <c r="L16" s="517"/>
      <c r="M16" s="216"/>
      <c r="N16" s="290"/>
    </row>
    <row r="17" spans="1:19" ht="15" hidden="1" outlineLevel="1" x14ac:dyDescent="0.25">
      <c r="A17" s="290"/>
      <c r="B17" s="216"/>
      <c r="C17" s="216"/>
      <c r="D17" s="1717" t="s">
        <v>1183</v>
      </c>
      <c r="E17" s="1718"/>
      <c r="F17" s="1718"/>
      <c r="G17" s="1718"/>
      <c r="H17" s="1718"/>
      <c r="I17" s="1718"/>
      <c r="J17" s="519"/>
      <c r="K17" s="366"/>
      <c r="L17" s="517"/>
      <c r="M17" s="216"/>
      <c r="N17" s="290"/>
    </row>
    <row r="18" spans="1:19" ht="15" hidden="1" outlineLevel="1" x14ac:dyDescent="0.25">
      <c r="A18" s="290"/>
      <c r="B18" s="216"/>
      <c r="C18" s="216"/>
      <c r="D18" s="1702" t="s">
        <v>1269</v>
      </c>
      <c r="E18" s="1703"/>
      <c r="F18" s="1703"/>
      <c r="G18" s="1703"/>
      <c r="H18" s="1703"/>
      <c r="I18" s="1703"/>
      <c r="J18" s="518" t="s">
        <v>12</v>
      </c>
      <c r="K18" s="366"/>
      <c r="L18" s="517"/>
      <c r="M18" s="216"/>
      <c r="N18" s="290"/>
    </row>
    <row r="19" spans="1:19" ht="15" hidden="1" outlineLevel="1" x14ac:dyDescent="0.25">
      <c r="A19" s="290"/>
      <c r="B19" s="216"/>
      <c r="C19" s="216"/>
      <c r="D19" s="1702" t="s">
        <v>1184</v>
      </c>
      <c r="E19" s="1703"/>
      <c r="F19" s="1703"/>
      <c r="G19" s="1703"/>
      <c r="H19" s="1703"/>
      <c r="I19" s="1703"/>
      <c r="J19" s="520"/>
      <c r="K19" s="366" t="s">
        <v>600</v>
      </c>
      <c r="L19" s="517"/>
      <c r="M19" s="216"/>
      <c r="N19" s="290"/>
    </row>
    <row r="20" spans="1:19" ht="15" hidden="1" outlineLevel="1" x14ac:dyDescent="0.25">
      <c r="A20" s="290"/>
      <c r="B20" s="216"/>
      <c r="C20" s="216"/>
      <c r="D20" s="580"/>
      <c r="E20" s="581"/>
      <c r="F20" s="581"/>
      <c r="G20" s="581"/>
      <c r="H20" s="581"/>
      <c r="I20" s="582" t="s">
        <v>601</v>
      </c>
      <c r="J20" s="527"/>
      <c r="K20" s="366"/>
      <c r="L20" s="528"/>
      <c r="M20" s="216"/>
      <c r="N20" s="290"/>
    </row>
    <row r="21" spans="1:19" ht="15" hidden="1" outlineLevel="1" x14ac:dyDescent="0.25">
      <c r="A21" s="290"/>
      <c r="B21" s="216"/>
      <c r="C21" s="216"/>
      <c r="D21" s="1702" t="s">
        <v>604</v>
      </c>
      <c r="E21" s="1703"/>
      <c r="F21" s="1703"/>
      <c r="G21" s="1703"/>
      <c r="H21" s="1703"/>
      <c r="I21" s="1703"/>
      <c r="J21" s="518" t="s">
        <v>12</v>
      </c>
      <c r="K21" s="1405"/>
      <c r="L21" s="521"/>
      <c r="M21" s="216"/>
      <c r="N21" s="291"/>
      <c r="P21" s="218">
        <f>IF(J21="Sim",2,0)</f>
        <v>0</v>
      </c>
      <c r="Q21" s="216"/>
      <c r="S21" s="219"/>
    </row>
    <row r="22" spans="1:19" ht="15" hidden="1" outlineLevel="1" x14ac:dyDescent="0.25">
      <c r="A22" s="290"/>
      <c r="B22" s="216"/>
      <c r="C22" s="216"/>
      <c r="D22" s="1702" t="s">
        <v>605</v>
      </c>
      <c r="E22" s="1703"/>
      <c r="F22" s="1703"/>
      <c r="G22" s="1703"/>
      <c r="H22" s="1703"/>
      <c r="I22" s="1703"/>
      <c r="J22" s="518" t="s">
        <v>12</v>
      </c>
      <c r="K22" s="1405"/>
      <c r="L22" s="521"/>
      <c r="M22" s="216"/>
      <c r="N22" s="291"/>
      <c r="P22" s="218">
        <f>IF(J22="Sim",2,0)</f>
        <v>0</v>
      </c>
      <c r="Q22" s="216"/>
      <c r="S22" s="219"/>
    </row>
    <row r="23" spans="1:19" ht="15" hidden="1" outlineLevel="1" x14ac:dyDescent="0.25">
      <c r="A23" s="290"/>
      <c r="B23" s="216"/>
      <c r="C23" s="216"/>
      <c r="D23" s="1702" t="s">
        <v>606</v>
      </c>
      <c r="E23" s="1703"/>
      <c r="F23" s="1703"/>
      <c r="G23" s="1703"/>
      <c r="H23" s="1703"/>
      <c r="I23" s="1703"/>
      <c r="J23" s="518" t="s">
        <v>12</v>
      </c>
      <c r="K23" s="1405"/>
      <c r="L23" s="521"/>
      <c r="M23" s="216"/>
      <c r="N23" s="291"/>
      <c r="P23" s="218">
        <f>IF(J23="Sim",2,0)</f>
        <v>0</v>
      </c>
      <c r="Q23" s="216"/>
      <c r="S23" s="219"/>
    </row>
    <row r="24" spans="1:19" ht="15" hidden="1" customHeight="1" outlineLevel="1" x14ac:dyDescent="0.25">
      <c r="A24" s="290"/>
      <c r="B24" s="216"/>
      <c r="C24" s="216"/>
      <c r="D24" s="1702" t="s">
        <v>607</v>
      </c>
      <c r="E24" s="1703"/>
      <c r="F24" s="1703"/>
      <c r="G24" s="1703"/>
      <c r="H24" s="1703"/>
      <c r="I24" s="1703"/>
      <c r="J24" s="518" t="s">
        <v>12</v>
      </c>
      <c r="K24" s="1405"/>
      <c r="L24" s="521"/>
      <c r="M24" s="216"/>
      <c r="N24" s="291"/>
      <c r="P24" s="218">
        <f>IF(J25="Sim",1,0)</f>
        <v>0</v>
      </c>
      <c r="Q24" s="216"/>
      <c r="S24" s="220"/>
    </row>
    <row r="25" spans="1:19" ht="15" hidden="1" outlineLevel="1" x14ac:dyDescent="0.25">
      <c r="A25" s="290"/>
      <c r="B25" s="216"/>
      <c r="C25" s="216"/>
      <c r="D25" s="1702" t="s">
        <v>608</v>
      </c>
      <c r="E25" s="1703"/>
      <c r="F25" s="1703"/>
      <c r="G25" s="1703"/>
      <c r="H25" s="1703"/>
      <c r="I25" s="1703"/>
      <c r="J25" s="518" t="s">
        <v>12</v>
      </c>
      <c r="K25" s="1405"/>
      <c r="L25" s="521"/>
      <c r="M25" s="216"/>
      <c r="N25" s="291"/>
      <c r="P25" s="218">
        <f>IF(J26="Sim",1,0)</f>
        <v>0</v>
      </c>
      <c r="Q25" s="216"/>
      <c r="S25" s="220"/>
    </row>
    <row r="26" spans="1:19" ht="15" hidden="1" outlineLevel="1" x14ac:dyDescent="0.25">
      <c r="A26" s="290"/>
      <c r="B26" s="216"/>
      <c r="C26" s="216"/>
      <c r="D26" s="1702" t="s">
        <v>609</v>
      </c>
      <c r="E26" s="1703"/>
      <c r="F26" s="1703"/>
      <c r="G26" s="1703"/>
      <c r="H26" s="1703"/>
      <c r="I26" s="1703"/>
      <c r="J26" s="518" t="s">
        <v>12</v>
      </c>
      <c r="K26" s="1405"/>
      <c r="L26" s="521"/>
      <c r="M26" s="216"/>
      <c r="N26" s="291"/>
      <c r="P26" s="218">
        <f>IF(J27="Sim",1,0)</f>
        <v>0</v>
      </c>
      <c r="Q26" s="216"/>
      <c r="S26" s="220"/>
    </row>
    <row r="27" spans="1:19" ht="15" hidden="1" outlineLevel="1" x14ac:dyDescent="0.25">
      <c r="A27" s="290"/>
      <c r="B27" s="216"/>
      <c r="C27" s="216"/>
      <c r="D27" s="1702" t="s">
        <v>610</v>
      </c>
      <c r="E27" s="1703"/>
      <c r="F27" s="1703"/>
      <c r="G27" s="1703"/>
      <c r="H27" s="1703"/>
      <c r="I27" s="1703"/>
      <c r="J27" s="518" t="s">
        <v>12</v>
      </c>
      <c r="K27" s="1405"/>
      <c r="L27" s="521"/>
      <c r="M27" s="216"/>
      <c r="N27" s="291"/>
      <c r="P27" s="218">
        <f>IF(J28="Sim",1,0)</f>
        <v>0</v>
      </c>
      <c r="Q27" s="216"/>
      <c r="S27" s="220"/>
    </row>
    <row r="28" spans="1:19" ht="15" hidden="1" outlineLevel="1" x14ac:dyDescent="0.25">
      <c r="A28" s="290"/>
      <c r="B28" s="216"/>
      <c r="C28" s="216"/>
      <c r="D28" s="1702" t="s">
        <v>611</v>
      </c>
      <c r="E28" s="1703"/>
      <c r="F28" s="1703"/>
      <c r="G28" s="1703"/>
      <c r="H28" s="1703"/>
      <c r="I28" s="1703"/>
      <c r="J28" s="518" t="s">
        <v>12</v>
      </c>
      <c r="K28" s="1405"/>
      <c r="L28" s="521"/>
      <c r="M28" s="216"/>
      <c r="N28" s="290"/>
      <c r="P28" s="218">
        <f>IF(J29="Sim",1,0)</f>
        <v>0</v>
      </c>
      <c r="Q28" s="216"/>
      <c r="S28" s="220"/>
    </row>
    <row r="29" spans="1:19" ht="15" hidden="1" outlineLevel="1" x14ac:dyDescent="0.25">
      <c r="A29" s="290"/>
      <c r="B29" s="216"/>
      <c r="C29" s="216"/>
      <c r="D29" s="1702" t="s">
        <v>612</v>
      </c>
      <c r="E29" s="1703"/>
      <c r="F29" s="1703"/>
      <c r="G29" s="1703"/>
      <c r="H29" s="1703"/>
      <c r="I29" s="1703"/>
      <c r="J29" s="524" t="s">
        <v>12</v>
      </c>
      <c r="K29" s="1410"/>
      <c r="L29" s="525"/>
      <c r="M29" s="216"/>
      <c r="N29" s="290"/>
      <c r="P29" s="218">
        <f>SUM(P21:P28)</f>
        <v>0</v>
      </c>
      <c r="Q29" s="216"/>
      <c r="S29" s="220"/>
    </row>
    <row r="30" spans="1:19" ht="15" hidden="1" outlineLevel="1" x14ac:dyDescent="0.25">
      <c r="A30" s="290"/>
      <c r="B30" s="216"/>
      <c r="C30" s="216"/>
      <c r="D30" s="1723" t="s">
        <v>603</v>
      </c>
      <c r="E30" s="1724"/>
      <c r="F30" s="1724"/>
      <c r="G30" s="1724"/>
      <c r="H30" s="1724"/>
      <c r="I30" s="1724"/>
      <c r="J30" s="366" t="str">
        <f>IF(P30=FALSE,(IF($P$29&lt;=4,"Ruim",IF(P29&gt;=8,"Bom","Regular"))),"")</f>
        <v/>
      </c>
      <c r="K30" s="1405"/>
      <c r="L30" s="369"/>
      <c r="M30" s="216"/>
      <c r="N30" s="290"/>
      <c r="P30" s="216" t="b">
        <f>AND(J21="Selecione",J22="Selecione",J23="Selecione",J24="Selecione",J25="Selecione",J26="Selecione",J27="Selecione",J28="Selecione",J29="Selecione")</f>
        <v>1</v>
      </c>
      <c r="S30" s="216"/>
    </row>
    <row r="31" spans="1:19" ht="16.5" hidden="1" outlineLevel="1" x14ac:dyDescent="0.3">
      <c r="A31" s="290"/>
      <c r="B31" s="216"/>
      <c r="C31" s="216"/>
      <c r="D31" s="649" t="s">
        <v>1329</v>
      </c>
      <c r="E31" s="303"/>
      <c r="F31" s="303"/>
      <c r="G31" s="303"/>
      <c r="H31" s="579"/>
      <c r="I31" s="303"/>
      <c r="J31" s="1079" t="str">
        <f>'Apoio_Regulação do clima global'!D203</f>
        <v/>
      </c>
      <c r="K31" s="1411" t="s">
        <v>1267</v>
      </c>
      <c r="L31" s="369"/>
      <c r="M31" s="1084"/>
      <c r="N31" s="290"/>
      <c r="P31" s="216"/>
      <c r="S31" s="216"/>
    </row>
    <row r="32" spans="1:19" ht="16.5" hidden="1" outlineLevel="1" x14ac:dyDescent="0.3">
      <c r="A32" s="290"/>
      <c r="B32" s="216"/>
      <c r="C32" s="216"/>
      <c r="D32" s="257" t="s">
        <v>1273</v>
      </c>
      <c r="E32" s="292"/>
      <c r="F32" s="292"/>
      <c r="G32" s="292"/>
      <c r="H32" s="292"/>
      <c r="I32" s="582"/>
      <c r="J32" s="518"/>
      <c r="K32" s="366" t="s">
        <v>1119</v>
      </c>
      <c r="L32" s="517"/>
      <c r="M32" s="1080"/>
      <c r="N32" s="290"/>
    </row>
    <row r="33" spans="1:19" ht="31.5" hidden="1" customHeight="1" outlineLevel="1" x14ac:dyDescent="0.25">
      <c r="A33" s="290"/>
      <c r="B33" s="216"/>
      <c r="C33" s="216"/>
      <c r="D33" s="1602" t="s">
        <v>1470</v>
      </c>
      <c r="E33" s="1603"/>
      <c r="F33" s="1603"/>
      <c r="G33" s="1603"/>
      <c r="H33" s="1603"/>
      <c r="I33" s="1603"/>
      <c r="J33" s="645"/>
      <c r="K33" s="1412" t="s">
        <v>1274</v>
      </c>
      <c r="L33" s="515" t="s">
        <v>1268</v>
      </c>
      <c r="M33" s="216"/>
      <c r="N33" s="290"/>
    </row>
    <row r="34" spans="1:19" ht="15" hidden="1" outlineLevel="1" x14ac:dyDescent="0.25">
      <c r="A34" s="290"/>
      <c r="B34" s="216"/>
      <c r="C34" s="216"/>
      <c r="D34" s="1709" t="s">
        <v>1517</v>
      </c>
      <c r="E34" s="1710"/>
      <c r="F34" s="1710"/>
      <c r="G34" s="1710"/>
      <c r="H34" s="1710"/>
      <c r="I34" s="1710"/>
      <c r="J34" s="1083" t="str">
        <f>IFERROR(IF(J33="",IF(J35="Amazônia",VLOOKUP(J36,'Apoio_Regulação do clima global'!B5:D35,3,0),IF(J35="Caatinga",VLOOKUP(J36,'Apoio_Regulação do clima global'!B38:D61,3,0),IF(J35="Cerrado",VLOOKUP(J36,'Apoio_Regulação do clima global'!B64:D92,3,0),IF(J35="Mata Atlântica",VLOOKUP(J36,'Apoio_Regulação do clima global'!B95:D131,3,0),IF(J35="Pampa",VLOOKUP(J36,'Apoio_Regulação do clima global'!B134:D152,3,0),IF(J35="Pantanal",VLOOKUP(J36,'Apoio_Regulação do clima global'!B155:D170,3,0),"")))))),""),"")</f>
        <v/>
      </c>
      <c r="K34" s="1407" t="str">
        <f>IF(J34="","","tCO2e/ha")</f>
        <v/>
      </c>
      <c r="L34" s="1082"/>
      <c r="M34" s="216"/>
      <c r="N34" s="290"/>
    </row>
    <row r="35" spans="1:19" ht="15" hidden="1" outlineLevel="1" x14ac:dyDescent="0.25">
      <c r="A35" s="290"/>
      <c r="B35" s="216"/>
      <c r="C35" s="216"/>
      <c r="D35" s="1702" t="s">
        <v>1471</v>
      </c>
      <c r="E35" s="1703"/>
      <c r="F35" s="1703"/>
      <c r="G35" s="1703"/>
      <c r="H35" s="1703"/>
      <c r="I35" s="1703"/>
      <c r="J35" s="518" t="s">
        <v>12</v>
      </c>
      <c r="K35" s="366"/>
      <c r="L35" s="517"/>
      <c r="M35" s="216"/>
      <c r="N35" s="290"/>
    </row>
    <row r="36" spans="1:19" ht="15" hidden="1" outlineLevel="1" x14ac:dyDescent="0.25">
      <c r="A36" s="290"/>
      <c r="B36" s="216"/>
      <c r="C36" s="216"/>
      <c r="D36" s="1717" t="s">
        <v>1472</v>
      </c>
      <c r="E36" s="1718"/>
      <c r="F36" s="1718"/>
      <c r="G36" s="1718"/>
      <c r="H36" s="1718"/>
      <c r="I36" s="1718"/>
      <c r="J36" s="519"/>
      <c r="K36" s="366"/>
      <c r="L36" s="517"/>
      <c r="M36" s="216"/>
      <c r="N36" s="290"/>
    </row>
    <row r="37" spans="1:19" ht="16.5" hidden="1" outlineLevel="1" x14ac:dyDescent="0.3">
      <c r="A37" s="290"/>
      <c r="B37" s="216"/>
      <c r="C37" s="216"/>
      <c r="D37" s="649" t="s">
        <v>1330</v>
      </c>
      <c r="E37" s="511"/>
      <c r="F37" s="511"/>
      <c r="G37" s="511"/>
      <c r="H37" s="511"/>
      <c r="I37" s="511"/>
      <c r="J37" s="637" t="str">
        <f>IFERROR(IF(J32="","",IF(J33="",J34*J32,J33*J32)),"")</f>
        <v/>
      </c>
      <c r="K37" s="1411" t="s">
        <v>1267</v>
      </c>
      <c r="L37" s="532"/>
      <c r="M37" s="216"/>
      <c r="N37" s="290"/>
    </row>
    <row r="38" spans="1:19" ht="17.25" hidden="1" outlineLevel="1" thickBot="1" x14ac:dyDescent="0.35">
      <c r="A38" s="290"/>
      <c r="B38" s="216"/>
      <c r="C38" s="216"/>
      <c r="D38" s="522" t="s">
        <v>1271</v>
      </c>
      <c r="E38" s="523"/>
      <c r="F38" s="523"/>
      <c r="G38" s="523"/>
      <c r="H38" s="523"/>
      <c r="I38" s="523"/>
      <c r="J38" s="638"/>
      <c r="K38" s="1413" t="s">
        <v>1132</v>
      </c>
      <c r="L38" s="526" t="s">
        <v>1270</v>
      </c>
      <c r="M38" s="216"/>
      <c r="N38" s="290"/>
      <c r="P38" s="216"/>
      <c r="S38" s="216"/>
    </row>
    <row r="39" spans="1:19" ht="15" hidden="1" outlineLevel="1" x14ac:dyDescent="0.25">
      <c r="A39" s="290"/>
      <c r="B39" s="216"/>
      <c r="C39" s="216"/>
      <c r="D39" s="30"/>
      <c r="E39" s="292"/>
      <c r="F39" s="292"/>
      <c r="G39" s="292"/>
      <c r="H39" s="292"/>
      <c r="I39" s="292"/>
      <c r="J39" s="1502"/>
      <c r="K39" s="56"/>
      <c r="L39" s="511"/>
      <c r="M39" s="216"/>
      <c r="N39" s="290"/>
      <c r="P39" s="216"/>
      <c r="S39" s="216"/>
    </row>
    <row r="40" spans="1:19" collapsed="1" x14ac:dyDescent="0.2">
      <c r="A40" s="290"/>
      <c r="B40" s="216"/>
      <c r="C40" s="216"/>
      <c r="D40" s="216"/>
      <c r="E40" s="216"/>
      <c r="F40" s="216"/>
      <c r="G40" s="216"/>
      <c r="H40" s="216"/>
      <c r="I40" s="216"/>
      <c r="J40" s="216"/>
      <c r="K40" s="216"/>
      <c r="L40" s="216"/>
      <c r="M40" s="216"/>
      <c r="N40" s="290"/>
      <c r="P40" s="216"/>
      <c r="S40" s="216"/>
    </row>
    <row r="41" spans="1:19" ht="15" customHeight="1" x14ac:dyDescent="0.2">
      <c r="A41" s="290"/>
      <c r="B41" s="1704" t="s">
        <v>1137</v>
      </c>
      <c r="C41" s="1705"/>
      <c r="D41" s="1705"/>
      <c r="E41" s="1705"/>
      <c r="F41" s="1705"/>
      <c r="G41" s="1705"/>
      <c r="H41" s="1705"/>
      <c r="I41" s="1705"/>
      <c r="J41" s="1705"/>
      <c r="K41" s="1705"/>
      <c r="L41" s="1705"/>
      <c r="M41" s="1705"/>
      <c r="N41" s="1706"/>
    </row>
    <row r="42" spans="1:19" ht="15" hidden="1" customHeight="1" outlineLevel="1" x14ac:dyDescent="0.2">
      <c r="B42" s="441"/>
      <c r="C42" s="442"/>
      <c r="D42" s="442"/>
      <c r="E42" s="442"/>
      <c r="F42" s="442"/>
      <c r="G42" s="442"/>
      <c r="H42" s="442"/>
      <c r="I42" s="442"/>
      <c r="J42" s="442"/>
      <c r="K42" s="442"/>
      <c r="L42" s="442"/>
      <c r="M42" s="442"/>
      <c r="N42" s="443"/>
    </row>
    <row r="43" spans="1:19" ht="15" hidden="1" customHeight="1" outlineLevel="1" thickBot="1" x14ac:dyDescent="0.25">
      <c r="B43" s="441"/>
      <c r="C43" s="442"/>
      <c r="D43" s="442"/>
      <c r="E43" s="442"/>
      <c r="F43" s="442"/>
      <c r="G43" s="306" t="s">
        <v>2</v>
      </c>
      <c r="H43" s="442"/>
      <c r="I43" s="442"/>
      <c r="J43" s="442"/>
      <c r="K43" s="442"/>
      <c r="L43" s="442"/>
      <c r="M43" s="442"/>
      <c r="N43" s="443"/>
    </row>
    <row r="44" spans="1:19" ht="18.75" hidden="1" outlineLevel="1" x14ac:dyDescent="0.35">
      <c r="B44" s="289"/>
      <c r="C44" s="216"/>
      <c r="D44" s="216"/>
      <c r="E44" s="216"/>
      <c r="F44" s="514"/>
      <c r="G44" s="39" t="s">
        <v>1134</v>
      </c>
      <c r="H44" s="1716" t="str">
        <f>IFERROR(J31-J37,"")</f>
        <v/>
      </c>
      <c r="I44" s="1716"/>
      <c r="J44" s="215" t="s">
        <v>1133</v>
      </c>
      <c r="K44" s="216"/>
      <c r="L44" s="216"/>
      <c r="M44" s="216"/>
      <c r="N44" s="290"/>
    </row>
    <row r="45" spans="1:19" ht="16.5" hidden="1" outlineLevel="1" thickBot="1" x14ac:dyDescent="0.3">
      <c r="B45" s="289"/>
      <c r="C45" s="216"/>
      <c r="D45" s="216"/>
      <c r="E45" s="216"/>
      <c r="F45" s="208"/>
      <c r="G45" s="40" t="s">
        <v>506</v>
      </c>
      <c r="H45" s="1713" t="str">
        <f>IF(H44="","",H44*J38)</f>
        <v/>
      </c>
      <c r="I45" s="1713"/>
      <c r="J45" s="533" t="s">
        <v>13</v>
      </c>
      <c r="K45" s="216"/>
      <c r="L45" s="216"/>
      <c r="M45" s="216"/>
      <c r="N45" s="290"/>
    </row>
    <row r="46" spans="1:19" ht="15.75" hidden="1" outlineLevel="1" x14ac:dyDescent="0.25">
      <c r="B46" s="289"/>
      <c r="C46" s="216"/>
      <c r="D46" s="216"/>
      <c r="E46" s="216"/>
      <c r="F46" s="208"/>
      <c r="G46" s="25"/>
      <c r="H46" s="1416"/>
      <c r="I46" s="1416"/>
      <c r="J46" s="1417"/>
      <c r="K46" s="216"/>
      <c r="L46" s="216"/>
      <c r="M46" s="216"/>
      <c r="N46" s="290"/>
    </row>
    <row r="47" spans="1:19" ht="15.75" collapsed="1" x14ac:dyDescent="0.25">
      <c r="B47" s="289"/>
      <c r="C47" s="216"/>
      <c r="D47" s="216"/>
      <c r="E47" s="216"/>
      <c r="F47" s="208"/>
      <c r="G47" s="25"/>
      <c r="H47" s="1416"/>
      <c r="I47" s="1416"/>
      <c r="J47" s="1417"/>
      <c r="K47" s="216"/>
      <c r="L47" s="216"/>
      <c r="M47" s="216"/>
      <c r="N47" s="290"/>
    </row>
    <row r="48" spans="1:19" ht="15.75" x14ac:dyDescent="0.2">
      <c r="A48" s="290"/>
      <c r="B48" s="1704" t="s">
        <v>1585</v>
      </c>
      <c r="C48" s="1705"/>
      <c r="D48" s="1705"/>
      <c r="E48" s="1705"/>
      <c r="F48" s="1705"/>
      <c r="G48" s="1705"/>
      <c r="H48" s="1705"/>
      <c r="I48" s="1705"/>
      <c r="J48" s="1705"/>
      <c r="K48" s="1705"/>
      <c r="L48" s="1705"/>
      <c r="M48" s="1705"/>
      <c r="N48" s="1706"/>
    </row>
    <row r="49" spans="2:14" ht="15.75" hidden="1" outlineLevel="1" thickBot="1" x14ac:dyDescent="0.3">
      <c r="B49" s="289"/>
      <c r="C49" s="208"/>
      <c r="D49" s="209"/>
      <c r="E49" s="210"/>
      <c r="F49" s="208"/>
      <c r="G49" s="13" t="s">
        <v>1341</v>
      </c>
      <c r="H49" s="2"/>
      <c r="I49" s="1381"/>
      <c r="J49" s="1381"/>
      <c r="K49" s="1381"/>
      <c r="L49" s="1381"/>
      <c r="M49" s="216"/>
      <c r="N49" s="290"/>
    </row>
    <row r="50" spans="2:14" ht="18.75" hidden="1" outlineLevel="1" x14ac:dyDescent="0.35">
      <c r="B50" s="289"/>
      <c r="C50" s="208"/>
      <c r="D50" s="209"/>
      <c r="E50" s="210"/>
      <c r="F50" s="208"/>
      <c r="G50" s="1689" t="s">
        <v>1586</v>
      </c>
      <c r="H50" s="1690"/>
      <c r="I50" s="1614" t="s">
        <v>1588</v>
      </c>
      <c r="J50" s="1614"/>
      <c r="K50" s="1687" t="s">
        <v>1393</v>
      </c>
      <c r="L50" s="1688"/>
      <c r="M50" s="216"/>
      <c r="N50" s="290"/>
    </row>
    <row r="51" spans="2:14" ht="15" hidden="1" outlineLevel="1" x14ac:dyDescent="0.25">
      <c r="B51" s="289"/>
      <c r="C51" s="208"/>
      <c r="D51" s="1452"/>
      <c r="E51" s="210"/>
      <c r="F51" s="208"/>
      <c r="G51" s="1691"/>
      <c r="H51" s="1692"/>
      <c r="I51" s="1693"/>
      <c r="J51" s="1693"/>
      <c r="K51" s="1685"/>
      <c r="L51" s="1686"/>
      <c r="M51" s="216"/>
      <c r="N51" s="290"/>
    </row>
    <row r="52" spans="2:14" ht="15" hidden="1" outlineLevel="1" x14ac:dyDescent="0.25">
      <c r="B52" s="289"/>
      <c r="C52" s="208"/>
      <c r="D52" s="209"/>
      <c r="E52" s="210"/>
      <c r="F52" s="208"/>
      <c r="G52" s="1691"/>
      <c r="H52" s="1692"/>
      <c r="I52" s="1693"/>
      <c r="J52" s="1693"/>
      <c r="K52" s="1685"/>
      <c r="L52" s="1686"/>
      <c r="M52" s="216"/>
      <c r="N52" s="290"/>
    </row>
    <row r="53" spans="2:14" ht="15" hidden="1" outlineLevel="1" x14ac:dyDescent="0.25">
      <c r="B53" s="289"/>
      <c r="C53" s="208"/>
      <c r="D53" s="209"/>
      <c r="E53" s="210"/>
      <c r="F53" s="208"/>
      <c r="G53" s="1691"/>
      <c r="H53" s="1692"/>
      <c r="I53" s="1692"/>
      <c r="J53" s="1692"/>
      <c r="K53" s="1685"/>
      <c r="L53" s="1686"/>
      <c r="M53" s="216"/>
      <c r="N53" s="290"/>
    </row>
    <row r="54" spans="2:14" ht="15" hidden="1" outlineLevel="1" x14ac:dyDescent="0.25">
      <c r="B54" s="289"/>
      <c r="C54" s="208"/>
      <c r="D54" s="209"/>
      <c r="E54" s="210"/>
      <c r="F54" s="208"/>
      <c r="G54" s="1691"/>
      <c r="H54" s="1692"/>
      <c r="I54" s="1692"/>
      <c r="J54" s="1692"/>
      <c r="K54" s="1685"/>
      <c r="L54" s="1686"/>
      <c r="M54" s="216"/>
      <c r="N54" s="290"/>
    </row>
    <row r="55" spans="2:14" ht="15" hidden="1" outlineLevel="1" x14ac:dyDescent="0.25">
      <c r="B55" s="289"/>
      <c r="C55" s="208"/>
      <c r="D55" s="209"/>
      <c r="E55" s="210"/>
      <c r="F55" s="208"/>
      <c r="G55" s="1691"/>
      <c r="H55" s="1692"/>
      <c r="I55" s="1692"/>
      <c r="J55" s="1692"/>
      <c r="K55" s="1685"/>
      <c r="L55" s="1686"/>
      <c r="M55" s="216"/>
      <c r="N55" s="290"/>
    </row>
    <row r="56" spans="2:14" ht="15" hidden="1" outlineLevel="1" x14ac:dyDescent="0.25">
      <c r="B56" s="289"/>
      <c r="C56" s="208"/>
      <c r="D56" s="209"/>
      <c r="E56" s="210"/>
      <c r="F56" s="208"/>
      <c r="G56" s="1691"/>
      <c r="H56" s="1692"/>
      <c r="I56" s="1692"/>
      <c r="J56" s="1692"/>
      <c r="K56" s="1685"/>
      <c r="L56" s="1686"/>
      <c r="M56" s="216"/>
      <c r="N56" s="290"/>
    </row>
    <row r="57" spans="2:14" ht="15" hidden="1" outlineLevel="1" x14ac:dyDescent="0.25">
      <c r="B57" s="289"/>
      <c r="C57" s="208"/>
      <c r="D57" s="209"/>
      <c r="E57" s="210"/>
      <c r="F57" s="208"/>
      <c r="G57" s="1691"/>
      <c r="H57" s="1692"/>
      <c r="I57" s="1692"/>
      <c r="J57" s="1692"/>
      <c r="K57" s="1685"/>
      <c r="L57" s="1686"/>
      <c r="M57" s="216"/>
      <c r="N57" s="290"/>
    </row>
    <row r="58" spans="2:14" ht="15" hidden="1" outlineLevel="1" x14ac:dyDescent="0.25">
      <c r="B58" s="289"/>
      <c r="C58" s="208"/>
      <c r="D58" s="209"/>
      <c r="E58" s="210"/>
      <c r="F58" s="208"/>
      <c r="G58" s="1691"/>
      <c r="H58" s="1692"/>
      <c r="I58" s="1692"/>
      <c r="J58" s="1692"/>
      <c r="K58" s="1685"/>
      <c r="L58" s="1686"/>
      <c r="M58" s="216"/>
      <c r="N58" s="290"/>
    </row>
    <row r="59" spans="2:14" ht="15" hidden="1" outlineLevel="1" x14ac:dyDescent="0.25">
      <c r="B59" s="289"/>
      <c r="C59" s="208"/>
      <c r="D59" s="209"/>
      <c r="E59" s="210"/>
      <c r="F59" s="208"/>
      <c r="G59" s="1691"/>
      <c r="H59" s="1692"/>
      <c r="I59" s="1692"/>
      <c r="J59" s="1692"/>
      <c r="K59" s="1685"/>
      <c r="L59" s="1686"/>
      <c r="M59" s="216"/>
      <c r="N59" s="290"/>
    </row>
    <row r="60" spans="2:14" ht="15.75" hidden="1" outlineLevel="1" thickBot="1" x14ac:dyDescent="0.3">
      <c r="B60" s="289"/>
      <c r="C60" s="208"/>
      <c r="D60" s="209"/>
      <c r="E60" s="210"/>
      <c r="F60" s="208"/>
      <c r="G60" s="1696"/>
      <c r="H60" s="1697"/>
      <c r="I60" s="1697"/>
      <c r="J60" s="1697"/>
      <c r="K60" s="1694"/>
      <c r="L60" s="1695"/>
      <c r="M60" s="216"/>
      <c r="N60" s="290"/>
    </row>
    <row r="61" spans="2:14" ht="15.75" hidden="1" outlineLevel="1" x14ac:dyDescent="0.25">
      <c r="B61" s="289"/>
      <c r="C61" s="216"/>
      <c r="D61" s="216"/>
      <c r="E61" s="216"/>
      <c r="F61" s="208"/>
      <c r="G61" s="25"/>
      <c r="H61" s="1416"/>
      <c r="I61" s="1416"/>
      <c r="J61" s="1417"/>
      <c r="K61" s="216"/>
      <c r="L61" s="216"/>
      <c r="M61" s="216"/>
      <c r="N61" s="290"/>
    </row>
    <row r="62" spans="2:14" ht="15.75" collapsed="1" x14ac:dyDescent="0.25">
      <c r="B62" s="289"/>
      <c r="C62" s="216"/>
      <c r="D62" s="216"/>
      <c r="E62" s="216"/>
      <c r="F62" s="208"/>
      <c r="G62" s="25"/>
      <c r="H62" s="1416"/>
      <c r="I62" s="1416"/>
      <c r="J62" s="1417"/>
      <c r="K62" s="216"/>
      <c r="L62" s="216"/>
      <c r="M62" s="216"/>
      <c r="N62" s="290"/>
    </row>
    <row r="63" spans="2:14" x14ac:dyDescent="0.2">
      <c r="B63" s="289"/>
      <c r="C63" s="216"/>
      <c r="D63" s="216"/>
      <c r="E63" s="216"/>
      <c r="F63" s="208"/>
      <c r="G63" s="209"/>
      <c r="H63" s="216"/>
      <c r="I63" s="216"/>
      <c r="J63" s="216"/>
      <c r="K63" s="216"/>
      <c r="L63" s="216"/>
      <c r="M63" s="216"/>
      <c r="N63" s="290"/>
    </row>
    <row r="64" spans="2:14" ht="15.75" x14ac:dyDescent="0.25">
      <c r="B64" s="289"/>
      <c r="C64" s="288" t="s">
        <v>613</v>
      </c>
      <c r="D64" s="209"/>
      <c r="E64" s="210"/>
      <c r="F64" s="208"/>
      <c r="G64" s="209"/>
      <c r="H64" s="216"/>
      <c r="I64" s="216"/>
      <c r="J64" s="216"/>
      <c r="K64" s="216"/>
      <c r="L64" s="216"/>
      <c r="M64" s="216"/>
      <c r="N64" s="290"/>
    </row>
    <row r="65" spans="1:16" x14ac:dyDescent="0.2">
      <c r="B65" s="289"/>
      <c r="C65" s="216"/>
      <c r="D65" s="209"/>
      <c r="E65" s="210"/>
      <c r="F65" s="208"/>
      <c r="G65" s="209"/>
      <c r="H65" s="216"/>
      <c r="I65" s="216"/>
      <c r="J65" s="216"/>
      <c r="K65" s="216"/>
      <c r="L65" s="216"/>
      <c r="M65" s="216"/>
      <c r="N65" s="290"/>
    </row>
    <row r="66" spans="1:16" ht="15" customHeight="1" x14ac:dyDescent="0.2">
      <c r="A66" s="290"/>
      <c r="B66" s="1704" t="s">
        <v>495</v>
      </c>
      <c r="C66" s="1705"/>
      <c r="D66" s="1705"/>
      <c r="E66" s="1705"/>
      <c r="F66" s="1705"/>
      <c r="G66" s="1705"/>
      <c r="H66" s="1705"/>
      <c r="I66" s="1705"/>
      <c r="J66" s="1705"/>
      <c r="K66" s="1705"/>
      <c r="L66" s="1705"/>
      <c r="M66" s="1705"/>
      <c r="N66" s="1706"/>
    </row>
    <row r="67" spans="1:16" ht="15" hidden="1" customHeight="1" outlineLevel="1" thickBot="1" x14ac:dyDescent="0.25">
      <c r="A67" s="290"/>
      <c r="B67" s="216"/>
      <c r="C67" s="442"/>
      <c r="D67" s="442"/>
      <c r="E67" s="442"/>
      <c r="F67" s="216"/>
      <c r="G67" s="216"/>
      <c r="H67" s="216"/>
      <c r="I67" s="216"/>
      <c r="J67" s="216"/>
      <c r="K67" s="216"/>
      <c r="L67" s="216"/>
      <c r="M67" s="216"/>
      <c r="N67" s="290"/>
    </row>
    <row r="68" spans="1:16" ht="15" hidden="1" customHeight="1" outlineLevel="1" x14ac:dyDescent="0.25">
      <c r="A68" s="290"/>
      <c r="B68" s="216"/>
      <c r="C68" s="442"/>
      <c r="D68" s="111" t="s">
        <v>534</v>
      </c>
      <c r="E68" s="112"/>
      <c r="F68" s="112"/>
      <c r="G68" s="112"/>
      <c r="H68" s="112"/>
      <c r="I68" s="112"/>
      <c r="J68" s="112" t="s">
        <v>504</v>
      </c>
      <c r="K68" s="1408" t="s">
        <v>30</v>
      </c>
      <c r="L68" s="113" t="s">
        <v>536</v>
      </c>
      <c r="M68" s="216"/>
      <c r="N68" s="290"/>
    </row>
    <row r="69" spans="1:16" ht="15" hidden="1" customHeight="1" outlineLevel="1" x14ac:dyDescent="0.25">
      <c r="A69" s="290"/>
      <c r="B69" s="216"/>
      <c r="C69" s="442"/>
      <c r="D69" s="1707" t="s">
        <v>1159</v>
      </c>
      <c r="E69" s="1708"/>
      <c r="F69" s="1708"/>
      <c r="G69" s="1708"/>
      <c r="H69" s="1708"/>
      <c r="I69" s="1708"/>
      <c r="J69" s="518"/>
      <c r="K69" s="366" t="s">
        <v>615</v>
      </c>
      <c r="L69" s="521"/>
      <c r="M69" s="216"/>
      <c r="N69" s="290"/>
    </row>
    <row r="70" spans="1:16" ht="15" hidden="1" outlineLevel="1" x14ac:dyDescent="0.25">
      <c r="A70" s="290"/>
      <c r="B70" s="216"/>
      <c r="C70" s="29"/>
      <c r="D70" s="214" t="s">
        <v>1278</v>
      </c>
      <c r="E70" s="216"/>
      <c r="F70" s="216"/>
      <c r="G70" s="216"/>
      <c r="H70" s="216"/>
      <c r="I70" s="216"/>
      <c r="J70" s="469"/>
      <c r="K70" s="1401" t="s">
        <v>1119</v>
      </c>
      <c r="L70" s="538"/>
      <c r="M70" s="216"/>
      <c r="N70" s="290"/>
    </row>
    <row r="71" spans="1:16" ht="25.5" hidden="1" outlineLevel="1" x14ac:dyDescent="0.2">
      <c r="A71" s="290"/>
      <c r="B71" s="216"/>
      <c r="C71" s="216"/>
      <c r="D71" s="536" t="s">
        <v>1279</v>
      </c>
      <c r="E71" s="534"/>
      <c r="F71" s="534"/>
      <c r="G71" s="534"/>
      <c r="H71" s="534"/>
      <c r="I71" s="534"/>
      <c r="J71" s="537"/>
      <c r="K71" s="1402" t="s">
        <v>614</v>
      </c>
      <c r="L71" s="539" t="s">
        <v>1277</v>
      </c>
      <c r="M71" s="216"/>
      <c r="N71" s="290"/>
    </row>
    <row r="72" spans="1:16" s="216" customFormat="1" ht="16.5" hidden="1" outlineLevel="1" x14ac:dyDescent="0.3">
      <c r="A72" s="290"/>
      <c r="D72" s="257" t="s">
        <v>1280</v>
      </c>
      <c r="J72" s="535"/>
      <c r="K72" s="530" t="s">
        <v>614</v>
      </c>
      <c r="L72" s="521"/>
      <c r="N72" s="290"/>
    </row>
    <row r="73" spans="1:16" s="216" customFormat="1" ht="30" hidden="1" customHeight="1" outlineLevel="1" x14ac:dyDescent="0.2">
      <c r="A73" s="290"/>
      <c r="D73" s="1714" t="s">
        <v>1276</v>
      </c>
      <c r="E73" s="1715"/>
      <c r="F73" s="1715"/>
      <c r="G73" s="1715"/>
      <c r="H73" s="1715"/>
      <c r="I73" s="1715"/>
      <c r="J73" s="653"/>
      <c r="K73" s="1403" t="s">
        <v>1136</v>
      </c>
      <c r="L73" s="515" t="s">
        <v>1281</v>
      </c>
      <c r="N73" s="290"/>
    </row>
    <row r="74" spans="1:16" s="216" customFormat="1" ht="15" hidden="1" outlineLevel="1" x14ac:dyDescent="0.25">
      <c r="A74" s="290"/>
      <c r="D74" s="1709" t="s">
        <v>1334</v>
      </c>
      <c r="E74" s="1710"/>
      <c r="F74" s="1710"/>
      <c r="G74" s="1710"/>
      <c r="H74" s="1710"/>
      <c r="I74" s="1710"/>
      <c r="J74" s="650" t="str">
        <f>IFERROR(IF(J73="",IF(J75="Amazônia",VLOOKUP(J76,'Apoio_Regulação do clima global'!B26:D56,3,0),IF(J75="Caatinga",VLOOKUP(J76,'Apoio_Regulação do clima global'!B59:D82,3,0),IF(J75="Cerrado",VLOOKUP(J76,'Apoio_Regulação do clima global'!B85:D113,3,0),IF(J75="Mata Atlântica",VLOOKUP(J76,'Apoio_Regulação do clima global'!B116:D152,3,0),IF(J75="Pampa",VLOOKUP(J76,'Apoio_Regulação do clima global'!B155:D173,3,0),IF(J75="Pantanal",VLOOKUP(J76,'Apoio_Regulação do clima global'!B176:D191,3,0),"")))))),""),"")</f>
        <v/>
      </c>
      <c r="K74" s="1404" t="str">
        <f>IF(J74="","","tCO2e/há")</f>
        <v/>
      </c>
      <c r="L74" s="301"/>
      <c r="N74" s="290"/>
    </row>
    <row r="75" spans="1:16" ht="15" hidden="1" customHeight="1" outlineLevel="1" x14ac:dyDescent="0.25">
      <c r="A75" s="290"/>
      <c r="B75" s="216"/>
      <c r="C75" s="216"/>
      <c r="D75" s="1700" t="s">
        <v>1135</v>
      </c>
      <c r="E75" s="1701"/>
      <c r="F75" s="1701"/>
      <c r="G75" s="1701"/>
      <c r="H75" s="1701"/>
      <c r="I75" s="1701"/>
      <c r="J75" s="518" t="s">
        <v>12</v>
      </c>
      <c r="K75" s="366"/>
      <c r="L75" s="521"/>
      <c r="M75" s="216"/>
      <c r="N75" s="290"/>
    </row>
    <row r="76" spans="1:16" ht="15" hidden="1" outlineLevel="1" x14ac:dyDescent="0.25">
      <c r="A76" s="290"/>
      <c r="B76" s="216"/>
      <c r="C76" s="216"/>
      <c r="D76" s="1717" t="s">
        <v>1158</v>
      </c>
      <c r="E76" s="1718"/>
      <c r="F76" s="1718"/>
      <c r="G76" s="1718"/>
      <c r="H76" s="1718"/>
      <c r="I76" s="1718"/>
      <c r="J76" s="519"/>
      <c r="K76" s="366"/>
      <c r="L76" s="521"/>
      <c r="M76" s="216"/>
      <c r="N76" s="290"/>
    </row>
    <row r="77" spans="1:16" ht="15" hidden="1" outlineLevel="1" x14ac:dyDescent="0.2">
      <c r="A77" s="290"/>
      <c r="B77" s="216"/>
      <c r="C77" s="216"/>
      <c r="D77" s="1721" t="s">
        <v>601</v>
      </c>
      <c r="E77" s="1722"/>
      <c r="F77" s="1722"/>
      <c r="G77" s="1722"/>
      <c r="H77" s="1722"/>
      <c r="I77" s="1722"/>
      <c r="J77" s="368"/>
      <c r="K77" s="1405"/>
      <c r="L77" s="369"/>
      <c r="M77" s="216"/>
      <c r="N77" s="290"/>
      <c r="P77" s="218" t="b">
        <f>AND(J78="Selecione",J79="Selecione",J80="Selecione")</f>
        <v>1</v>
      </c>
    </row>
    <row r="78" spans="1:16" ht="15" hidden="1" outlineLevel="1" x14ac:dyDescent="0.25">
      <c r="A78" s="290"/>
      <c r="B78" s="216"/>
      <c r="C78" s="216"/>
      <c r="D78" s="1702" t="s">
        <v>616</v>
      </c>
      <c r="E78" s="1703"/>
      <c r="F78" s="1703"/>
      <c r="G78" s="1703"/>
      <c r="H78" s="1703"/>
      <c r="I78" s="1703"/>
      <c r="J78" s="510" t="s">
        <v>12</v>
      </c>
      <c r="K78" s="366"/>
      <c r="L78" s="521"/>
      <c r="M78" s="216"/>
      <c r="N78" s="291"/>
      <c r="P78" s="218">
        <f>IF(J78="Sim",1,0)</f>
        <v>0</v>
      </c>
    </row>
    <row r="79" spans="1:16" ht="30.75" hidden="1" customHeight="1" outlineLevel="1" x14ac:dyDescent="0.25">
      <c r="A79" s="290"/>
      <c r="B79" s="216"/>
      <c r="C79" s="216"/>
      <c r="D79" s="1717" t="s">
        <v>617</v>
      </c>
      <c r="E79" s="1718"/>
      <c r="F79" s="1718"/>
      <c r="G79" s="1718"/>
      <c r="H79" s="1718"/>
      <c r="I79" s="1718"/>
      <c r="J79" s="510" t="s">
        <v>12</v>
      </c>
      <c r="K79" s="366"/>
      <c r="L79" s="521"/>
      <c r="M79" s="216"/>
      <c r="N79" s="291"/>
      <c r="P79" s="218">
        <f>IF(J79="Não",1,0)</f>
        <v>0</v>
      </c>
    </row>
    <row r="80" spans="1:16" ht="45" hidden="1" customHeight="1" outlineLevel="1" x14ac:dyDescent="0.25">
      <c r="A80" s="290"/>
      <c r="B80" s="216"/>
      <c r="C80" s="216"/>
      <c r="D80" s="1711" t="s">
        <v>619</v>
      </c>
      <c r="E80" s="1712"/>
      <c r="F80" s="1712"/>
      <c r="G80" s="1712"/>
      <c r="H80" s="1712"/>
      <c r="I80" s="1712"/>
      <c r="J80" s="531" t="s">
        <v>12</v>
      </c>
      <c r="K80" s="530"/>
      <c r="L80" s="525"/>
      <c r="M80" s="216"/>
      <c r="N80" s="291"/>
      <c r="P80" s="218">
        <f>IF(J80="Sim",1,0)</f>
        <v>0</v>
      </c>
    </row>
    <row r="81" spans="1:16" ht="15" hidden="1" outlineLevel="1" x14ac:dyDescent="0.25">
      <c r="A81" s="290"/>
      <c r="B81" s="216"/>
      <c r="C81" s="216"/>
      <c r="D81" s="1723" t="s">
        <v>603</v>
      </c>
      <c r="E81" s="1724"/>
      <c r="F81" s="1724"/>
      <c r="G81" s="1724"/>
      <c r="H81" s="1724"/>
      <c r="I81" s="1724"/>
      <c r="J81" s="366" t="str">
        <f>IF(P77=FALSE,(IF(P81=3,"Bom",(IF(P81&gt;=1,"Regular","Ruim")))),"")</f>
        <v/>
      </c>
      <c r="K81" s="366"/>
      <c r="L81" s="369"/>
      <c r="M81" s="216"/>
      <c r="N81" s="291"/>
      <c r="P81" s="218">
        <f>SUM(P78:P80)</f>
        <v>0</v>
      </c>
    </row>
    <row r="82" spans="1:16" ht="29.25" hidden="1" customHeight="1" outlineLevel="1" x14ac:dyDescent="0.25">
      <c r="A82" s="290"/>
      <c r="B82" s="216"/>
      <c r="C82" s="216"/>
      <c r="D82" s="1714" t="s">
        <v>1275</v>
      </c>
      <c r="E82" s="1715"/>
      <c r="F82" s="1715"/>
      <c r="G82" s="1715"/>
      <c r="H82" s="1715"/>
      <c r="I82" s="1715"/>
      <c r="J82" s="544"/>
      <c r="K82" s="1406" t="s">
        <v>1136</v>
      </c>
      <c r="L82" s="515" t="s">
        <v>1281</v>
      </c>
      <c r="M82" s="216"/>
      <c r="N82" s="291"/>
      <c r="P82" s="218"/>
    </row>
    <row r="83" spans="1:16" ht="15" hidden="1" outlineLevel="1" x14ac:dyDescent="0.25">
      <c r="A83" s="290"/>
      <c r="B83" s="216"/>
      <c r="C83" s="216"/>
      <c r="D83" s="1709" t="s">
        <v>1335</v>
      </c>
      <c r="E83" s="1710"/>
      <c r="F83" s="1710"/>
      <c r="G83" s="1710"/>
      <c r="H83" s="1710"/>
      <c r="I83" s="1710"/>
      <c r="J83" s="542" t="str">
        <f>IFERROR(IF(J82="",IF(J84="Selecione","",(VLOOKUP(J84,'Apoio_Regulação do clima global'!B21:D23,3,0))),J82),"")</f>
        <v/>
      </c>
      <c r="K83" s="1407" t="str">
        <f>IF(J83="","","tCO2e/há")</f>
        <v/>
      </c>
      <c r="L83" s="515"/>
      <c r="M83" s="216"/>
      <c r="N83" s="291"/>
      <c r="P83" s="218"/>
    </row>
    <row r="84" spans="1:16" ht="15" hidden="1" outlineLevel="1" x14ac:dyDescent="0.25">
      <c r="A84" s="290"/>
      <c r="B84" s="216"/>
      <c r="C84" s="216"/>
      <c r="D84" s="1702" t="s">
        <v>1157</v>
      </c>
      <c r="E84" s="1703"/>
      <c r="F84" s="1703"/>
      <c r="G84" s="1703"/>
      <c r="H84" s="1703"/>
      <c r="I84" s="1703"/>
      <c r="J84" s="518" t="s">
        <v>12</v>
      </c>
      <c r="K84" s="366"/>
      <c r="L84" s="521"/>
      <c r="M84" s="216"/>
      <c r="N84" s="291"/>
      <c r="P84" s="218"/>
    </row>
    <row r="85" spans="1:16" ht="15" hidden="1" outlineLevel="1" x14ac:dyDescent="0.25">
      <c r="A85" s="290"/>
      <c r="B85" s="216"/>
      <c r="C85" s="216"/>
      <c r="D85" s="1729" t="s">
        <v>1160</v>
      </c>
      <c r="E85" s="1730"/>
      <c r="F85" s="1730"/>
      <c r="G85" s="1730"/>
      <c r="H85" s="1730"/>
      <c r="I85" s="1730"/>
      <c r="J85" s="651" t="str">
        <f>IF(J83="","",FN3Aux!C10)</f>
        <v/>
      </c>
      <c r="K85" s="1407"/>
      <c r="L85" s="301"/>
      <c r="M85" s="216"/>
      <c r="N85" s="291"/>
      <c r="P85" s="218"/>
    </row>
    <row r="86" spans="1:16" ht="15.75" hidden="1" outlineLevel="1" thickBot="1" x14ac:dyDescent="0.3">
      <c r="A86" s="290"/>
      <c r="B86" s="216"/>
      <c r="C86" s="216"/>
      <c r="D86" s="540" t="s">
        <v>1282</v>
      </c>
      <c r="E86" s="541"/>
      <c r="F86" s="541"/>
      <c r="G86" s="541"/>
      <c r="H86" s="541"/>
      <c r="I86" s="541"/>
      <c r="J86" s="652"/>
      <c r="K86" s="1400" t="s">
        <v>13</v>
      </c>
      <c r="L86" s="526" t="s">
        <v>1270</v>
      </c>
      <c r="M86" s="216"/>
      <c r="N86" s="291"/>
      <c r="P86" s="218"/>
    </row>
    <row r="87" spans="1:16" hidden="1" outlineLevel="1" x14ac:dyDescent="0.2">
      <c r="A87" s="290"/>
      <c r="B87" s="216"/>
      <c r="C87" s="216"/>
      <c r="M87" s="216"/>
      <c r="N87" s="291"/>
      <c r="P87" s="218"/>
    </row>
    <row r="88" spans="1:16" collapsed="1" x14ac:dyDescent="0.2">
      <c r="A88" s="290"/>
      <c r="B88" s="216"/>
      <c r="C88" s="212"/>
      <c r="D88" s="207"/>
      <c r="E88" s="213"/>
      <c r="F88" s="216"/>
      <c r="G88" s="217"/>
      <c r="H88" s="216"/>
      <c r="I88" s="216"/>
      <c r="J88" s="216"/>
      <c r="K88" s="216"/>
      <c r="L88" s="216"/>
      <c r="M88" s="216"/>
      <c r="N88" s="290"/>
    </row>
    <row r="89" spans="1:16" ht="15.75" customHeight="1" x14ac:dyDescent="0.2">
      <c r="A89" s="290"/>
      <c r="B89" s="1704" t="s">
        <v>1137</v>
      </c>
      <c r="C89" s="1705"/>
      <c r="D89" s="1705"/>
      <c r="E89" s="1705"/>
      <c r="F89" s="1705"/>
      <c r="G89" s="1705"/>
      <c r="H89" s="1705"/>
      <c r="I89" s="1705"/>
      <c r="J89" s="1705"/>
      <c r="K89" s="1705"/>
      <c r="L89" s="1705"/>
      <c r="M89" s="1705"/>
      <c r="N89" s="1706"/>
    </row>
    <row r="90" spans="1:16" hidden="1" outlineLevel="1" x14ac:dyDescent="0.2">
      <c r="A90" s="290"/>
      <c r="B90" s="216"/>
      <c r="C90" s="216"/>
      <c r="D90" s="216"/>
      <c r="E90" s="216"/>
      <c r="F90" s="217"/>
      <c r="G90" s="221"/>
      <c r="H90" s="216"/>
      <c r="I90" s="216"/>
      <c r="J90" s="216"/>
      <c r="K90" s="216"/>
      <c r="L90" s="216"/>
      <c r="M90" s="216"/>
      <c r="N90" s="290"/>
    </row>
    <row r="91" spans="1:16" ht="16.5" hidden="1" outlineLevel="1" thickBot="1" x14ac:dyDescent="0.25">
      <c r="A91" s="290"/>
      <c r="B91" s="216"/>
      <c r="C91" s="216"/>
      <c r="D91" s="216"/>
      <c r="E91" s="216"/>
      <c r="F91" s="217"/>
      <c r="G91" s="305" t="s">
        <v>2</v>
      </c>
      <c r="H91" s="216"/>
      <c r="I91" s="216"/>
      <c r="J91" s="216"/>
      <c r="K91" s="216"/>
      <c r="L91" s="216"/>
      <c r="M91" s="216"/>
      <c r="N91" s="290"/>
    </row>
    <row r="92" spans="1:16" ht="18.75" hidden="1" outlineLevel="1" x14ac:dyDescent="0.35">
      <c r="A92" s="290"/>
      <c r="B92" s="216"/>
      <c r="C92" s="216"/>
      <c r="D92" s="216"/>
      <c r="E92" s="216"/>
      <c r="F92" s="216"/>
      <c r="G92" s="39" t="s">
        <v>1185</v>
      </c>
      <c r="H92" s="1731" t="str">
        <f>IFERROR(('Apoio_Regulação do clima global'!$D$207-'Apoio_Regulação do clima global'!$D$208)*(J71-J72)*J70,"")</f>
        <v/>
      </c>
      <c r="I92" s="1731"/>
      <c r="J92" s="304" t="s">
        <v>1161</v>
      </c>
      <c r="K92" s="216"/>
      <c r="L92" s="216"/>
      <c r="M92" s="216"/>
      <c r="N92" s="290"/>
    </row>
    <row r="93" spans="1:16" ht="16.5" hidden="1" outlineLevel="1" thickBot="1" x14ac:dyDescent="0.3">
      <c r="A93" s="290"/>
      <c r="B93" s="216"/>
      <c r="C93" s="208"/>
      <c r="D93" s="209"/>
      <c r="E93" s="210"/>
      <c r="F93" s="208"/>
      <c r="G93" s="40" t="s">
        <v>506</v>
      </c>
      <c r="H93" s="1728" t="str">
        <f>IF(H92="","",H92*J86)</f>
        <v/>
      </c>
      <c r="I93" s="1728"/>
      <c r="J93" s="543" t="s">
        <v>13</v>
      </c>
      <c r="K93" s="216"/>
      <c r="L93" s="216"/>
      <c r="M93" s="216"/>
      <c r="N93" s="290"/>
    </row>
    <row r="94" spans="1:16" ht="15.75" hidden="1" outlineLevel="1" x14ac:dyDescent="0.25">
      <c r="A94" s="290"/>
      <c r="B94" s="216"/>
      <c r="C94" s="208"/>
      <c r="D94" s="209"/>
      <c r="E94" s="210"/>
      <c r="F94" s="208"/>
      <c r="G94" s="25"/>
      <c r="H94" s="1414"/>
      <c r="I94" s="1414"/>
      <c r="J94" s="1415"/>
      <c r="K94" s="216"/>
      <c r="L94" s="216"/>
      <c r="M94" s="216"/>
      <c r="N94" s="290"/>
    </row>
    <row r="95" spans="1:16" ht="15.75" collapsed="1" x14ac:dyDescent="0.25">
      <c r="A95" s="290"/>
      <c r="B95" s="216"/>
      <c r="C95" s="208"/>
      <c r="D95" s="209"/>
      <c r="E95" s="210"/>
      <c r="F95" s="208"/>
      <c r="G95" s="25"/>
      <c r="H95" s="1414"/>
      <c r="I95" s="1414"/>
      <c r="J95" s="1415"/>
      <c r="K95" s="216"/>
      <c r="L95" s="216"/>
      <c r="M95" s="216"/>
      <c r="N95" s="290"/>
    </row>
    <row r="96" spans="1:16" ht="15.75" x14ac:dyDescent="0.2">
      <c r="A96" s="290"/>
      <c r="B96" s="1704" t="s">
        <v>1585</v>
      </c>
      <c r="C96" s="1705"/>
      <c r="D96" s="1705"/>
      <c r="E96" s="1705"/>
      <c r="F96" s="1705"/>
      <c r="G96" s="1705"/>
      <c r="H96" s="1705"/>
      <c r="I96" s="1705"/>
      <c r="J96" s="1705"/>
      <c r="K96" s="1705"/>
      <c r="L96" s="1705"/>
      <c r="M96" s="1705"/>
      <c r="N96" s="1706"/>
    </row>
    <row r="97" spans="1:15" ht="16.5" thickBot="1" x14ac:dyDescent="0.3">
      <c r="A97" s="290"/>
      <c r="B97" s="216"/>
      <c r="C97" s="208"/>
      <c r="D97" s="209"/>
      <c r="E97" s="210"/>
      <c r="F97" s="208"/>
      <c r="G97" s="25"/>
      <c r="H97" s="1414"/>
      <c r="I97" s="1414"/>
      <c r="J97" s="1415"/>
      <c r="K97" s="216"/>
      <c r="L97" s="216"/>
      <c r="M97" s="216"/>
      <c r="N97" s="290"/>
    </row>
    <row r="98" spans="1:15" ht="15.75" hidden="1" outlineLevel="1" thickBot="1" x14ac:dyDescent="0.3">
      <c r="B98" s="289"/>
      <c r="C98" s="208"/>
      <c r="D98" s="209"/>
      <c r="E98" s="210"/>
      <c r="F98" s="208"/>
      <c r="G98" s="13" t="s">
        <v>1341</v>
      </c>
      <c r="H98" s="2"/>
      <c r="I98" s="1381"/>
      <c r="J98" s="1381"/>
      <c r="K98" s="1381"/>
      <c r="L98" s="1381"/>
      <c r="M98" s="216"/>
      <c r="N98" s="290"/>
    </row>
    <row r="99" spans="1:15" ht="18.75" hidden="1" outlineLevel="1" x14ac:dyDescent="0.35">
      <c r="B99" s="289"/>
      <c r="C99" s="208"/>
      <c r="D99" s="1452"/>
      <c r="E99" s="210"/>
      <c r="F99" s="208"/>
      <c r="G99" s="1689" t="s">
        <v>1586</v>
      </c>
      <c r="H99" s="1690"/>
      <c r="I99" s="1614" t="s">
        <v>1587</v>
      </c>
      <c r="J99" s="1614"/>
      <c r="K99" s="1687" t="s">
        <v>1393</v>
      </c>
      <c r="L99" s="1688"/>
      <c r="M99" s="216"/>
      <c r="N99" s="290"/>
    </row>
    <row r="100" spans="1:15" ht="15" hidden="1" outlineLevel="1" x14ac:dyDescent="0.25">
      <c r="B100" s="289"/>
      <c r="C100" s="208"/>
      <c r="D100" s="209"/>
      <c r="E100" s="210"/>
      <c r="F100" s="208"/>
      <c r="G100" s="1691"/>
      <c r="H100" s="1692"/>
      <c r="I100" s="1693"/>
      <c r="J100" s="1693"/>
      <c r="K100" s="1685"/>
      <c r="L100" s="1686"/>
      <c r="M100" s="216"/>
      <c r="N100" s="290"/>
    </row>
    <row r="101" spans="1:15" ht="15" hidden="1" outlineLevel="1" x14ac:dyDescent="0.25">
      <c r="B101" s="289"/>
      <c r="C101" s="208"/>
      <c r="D101" s="209"/>
      <c r="E101" s="210"/>
      <c r="F101" s="208"/>
      <c r="G101" s="1691"/>
      <c r="H101" s="1692"/>
      <c r="I101" s="1693"/>
      <c r="J101" s="1693"/>
      <c r="K101" s="1685"/>
      <c r="L101" s="1686"/>
      <c r="M101" s="216"/>
      <c r="N101" s="290"/>
    </row>
    <row r="102" spans="1:15" ht="15" hidden="1" outlineLevel="1" x14ac:dyDescent="0.25">
      <c r="B102" s="289"/>
      <c r="C102" s="208"/>
      <c r="D102" s="209"/>
      <c r="E102" s="210"/>
      <c r="F102" s="208"/>
      <c r="G102" s="1691"/>
      <c r="H102" s="1692"/>
      <c r="I102" s="1692"/>
      <c r="J102" s="1692"/>
      <c r="K102" s="1685"/>
      <c r="L102" s="1686"/>
      <c r="M102" s="216"/>
      <c r="N102" s="290"/>
    </row>
    <row r="103" spans="1:15" ht="15" hidden="1" outlineLevel="1" x14ac:dyDescent="0.25">
      <c r="B103" s="289"/>
      <c r="C103" s="208"/>
      <c r="D103" s="209"/>
      <c r="E103" s="210"/>
      <c r="F103" s="208"/>
      <c r="G103" s="1691"/>
      <c r="H103" s="1692"/>
      <c r="I103" s="1692"/>
      <c r="J103" s="1692"/>
      <c r="K103" s="1685"/>
      <c r="L103" s="1686"/>
      <c r="M103" s="216"/>
      <c r="N103" s="290"/>
    </row>
    <row r="104" spans="1:15" ht="15" hidden="1" outlineLevel="1" x14ac:dyDescent="0.25">
      <c r="B104" s="289"/>
      <c r="C104" s="208"/>
      <c r="D104" s="209"/>
      <c r="E104" s="210"/>
      <c r="F104" s="208"/>
      <c r="G104" s="1691"/>
      <c r="H104" s="1692"/>
      <c r="I104" s="1692"/>
      <c r="J104" s="1692"/>
      <c r="K104" s="1685"/>
      <c r="L104" s="1686"/>
      <c r="M104" s="216"/>
      <c r="N104" s="290"/>
    </row>
    <row r="105" spans="1:15" ht="15" hidden="1" outlineLevel="1" x14ac:dyDescent="0.25">
      <c r="B105" s="289"/>
      <c r="C105" s="208"/>
      <c r="D105" s="209"/>
      <c r="E105" s="210"/>
      <c r="F105" s="208"/>
      <c r="G105" s="1691"/>
      <c r="H105" s="1692"/>
      <c r="I105" s="1692"/>
      <c r="J105" s="1692"/>
      <c r="K105" s="1685"/>
      <c r="L105" s="1686"/>
      <c r="M105" s="216"/>
      <c r="N105" s="290"/>
    </row>
    <row r="106" spans="1:15" ht="15" hidden="1" outlineLevel="1" x14ac:dyDescent="0.25">
      <c r="B106" s="289"/>
      <c r="C106" s="208"/>
      <c r="D106" s="209"/>
      <c r="E106" s="210"/>
      <c r="F106" s="208"/>
      <c r="G106" s="1691"/>
      <c r="H106" s="1692"/>
      <c r="I106" s="1692"/>
      <c r="J106" s="1692"/>
      <c r="K106" s="1685"/>
      <c r="L106" s="1686"/>
      <c r="M106" s="216"/>
      <c r="N106" s="290"/>
    </row>
    <row r="107" spans="1:15" ht="15" hidden="1" outlineLevel="1" x14ac:dyDescent="0.25">
      <c r="B107" s="289"/>
      <c r="C107" s="208"/>
      <c r="D107" s="209"/>
      <c r="E107" s="210"/>
      <c r="F107" s="208"/>
      <c r="G107" s="1691"/>
      <c r="H107" s="1692"/>
      <c r="I107" s="1692"/>
      <c r="J107" s="1692"/>
      <c r="K107" s="1685"/>
      <c r="L107" s="1686"/>
      <c r="M107" s="216"/>
      <c r="N107" s="290"/>
    </row>
    <row r="108" spans="1:15" ht="15" hidden="1" outlineLevel="1" x14ac:dyDescent="0.25">
      <c r="B108" s="289"/>
      <c r="C108" s="208"/>
      <c r="D108" s="209"/>
      <c r="E108" s="210"/>
      <c r="F108" s="208"/>
      <c r="G108" s="1691"/>
      <c r="H108" s="1692"/>
      <c r="I108" s="1692"/>
      <c r="J108" s="1692"/>
      <c r="K108" s="1685"/>
      <c r="L108" s="1686"/>
      <c r="M108" s="216"/>
      <c r="N108" s="290"/>
    </row>
    <row r="109" spans="1:15" ht="15.75" hidden="1" outlineLevel="1" thickBot="1" x14ac:dyDescent="0.3">
      <c r="B109" s="289"/>
      <c r="C109" s="208"/>
      <c r="D109" s="209"/>
      <c r="E109" s="210"/>
      <c r="F109" s="208"/>
      <c r="G109" s="1696"/>
      <c r="H109" s="1697"/>
      <c r="I109" s="1697"/>
      <c r="J109" s="1697"/>
      <c r="K109" s="1694"/>
      <c r="L109" s="1695"/>
      <c r="M109" s="216"/>
      <c r="N109" s="290"/>
    </row>
    <row r="110" spans="1:15" ht="16.5" hidden="1" outlineLevel="1" thickBot="1" x14ac:dyDescent="0.3">
      <c r="B110" s="296"/>
      <c r="C110" s="307"/>
      <c r="D110" s="308"/>
      <c r="E110" s="309"/>
      <c r="F110" s="307"/>
      <c r="G110" s="310"/>
      <c r="H110" s="311"/>
      <c r="I110" s="311"/>
      <c r="J110" s="311"/>
      <c r="K110" s="312"/>
      <c r="L110" s="312"/>
      <c r="M110" s="297"/>
      <c r="N110" s="298"/>
    </row>
    <row r="111" spans="1:15" ht="16.5" customHeight="1" collapsed="1" thickTop="1" x14ac:dyDescent="0.2">
      <c r="A111" s="216"/>
      <c r="B111" s="1453"/>
      <c r="C111" s="1454"/>
      <c r="D111" s="1455"/>
      <c r="E111" s="1456"/>
      <c r="F111" s="1453"/>
      <c r="G111" s="1453"/>
      <c r="H111" s="1453"/>
      <c r="I111" s="1453"/>
      <c r="J111" s="1453"/>
      <c r="K111" s="1453"/>
      <c r="L111" s="1453"/>
      <c r="M111" s="1453"/>
      <c r="N111" s="1453"/>
      <c r="O111" s="216"/>
    </row>
    <row r="112" spans="1:15" x14ac:dyDescent="0.2">
      <c r="A112" s="216"/>
      <c r="B112" s="216"/>
      <c r="C112" s="222"/>
      <c r="D112" s="293"/>
      <c r="E112" s="217"/>
      <c r="F112" s="216"/>
      <c r="G112" s="216"/>
      <c r="H112" s="216"/>
      <c r="I112" s="216"/>
      <c r="J112" s="216"/>
      <c r="K112" s="216"/>
      <c r="L112" s="216"/>
      <c r="M112" s="216"/>
      <c r="N112" s="216"/>
      <c r="O112" s="216"/>
    </row>
    <row r="113" spans="1:15" hidden="1" x14ac:dyDescent="0.2">
      <c r="A113" s="216"/>
      <c r="B113" s="216"/>
      <c r="C113" s="216"/>
      <c r="D113" s="294"/>
      <c r="E113" s="216"/>
      <c r="F113" s="216"/>
      <c r="G113" s="216"/>
      <c r="H113" s="216"/>
      <c r="I113" s="216"/>
      <c r="J113" s="216"/>
      <c r="K113" s="216"/>
      <c r="L113" s="216"/>
      <c r="M113" s="216"/>
      <c r="N113" s="216"/>
      <c r="O113" s="216"/>
    </row>
    <row r="114" spans="1:15" hidden="1" x14ac:dyDescent="0.2">
      <c r="A114" s="216"/>
      <c r="B114" s="216"/>
      <c r="C114" s="216"/>
      <c r="D114" s="294"/>
      <c r="E114" s="216"/>
      <c r="F114" s="216"/>
      <c r="G114" s="216"/>
      <c r="H114" s="216"/>
      <c r="I114" s="216"/>
      <c r="J114" s="216"/>
      <c r="K114" s="216"/>
      <c r="L114" s="216"/>
      <c r="M114" s="216"/>
      <c r="N114" s="216"/>
      <c r="O114" s="216"/>
    </row>
    <row r="115" spans="1:15" hidden="1" x14ac:dyDescent="0.2">
      <c r="A115" s="216"/>
      <c r="B115" s="216"/>
      <c r="C115" s="216"/>
      <c r="D115" s="294"/>
      <c r="E115" s="216"/>
      <c r="F115" s="216"/>
      <c r="G115" s="216"/>
      <c r="H115" s="216"/>
      <c r="I115" s="216"/>
      <c r="J115" s="216"/>
      <c r="K115" s="216"/>
      <c r="L115" s="216"/>
      <c r="M115" s="216"/>
      <c r="N115" s="216"/>
      <c r="O115" s="216"/>
    </row>
    <row r="116" spans="1:15" hidden="1" x14ac:dyDescent="0.2">
      <c r="A116" s="216"/>
      <c r="B116" s="216"/>
      <c r="C116" s="216"/>
      <c r="D116" s="294"/>
      <c r="E116" s="216"/>
      <c r="F116" s="216"/>
      <c r="G116" s="216"/>
      <c r="H116" s="216"/>
      <c r="I116" s="216"/>
      <c r="J116" s="216"/>
      <c r="K116" s="216"/>
      <c r="L116" s="216"/>
      <c r="M116" s="216"/>
      <c r="N116" s="216"/>
      <c r="O116" s="216"/>
    </row>
    <row r="117" spans="1:15" hidden="1" x14ac:dyDescent="0.2">
      <c r="A117" s="216"/>
      <c r="B117" s="216"/>
      <c r="C117" s="216"/>
      <c r="D117" s="294"/>
      <c r="E117" s="216"/>
      <c r="F117" s="216"/>
      <c r="G117" s="216"/>
      <c r="H117" s="216"/>
      <c r="I117" s="216"/>
      <c r="J117" s="216"/>
      <c r="K117" s="216"/>
      <c r="L117" s="216"/>
      <c r="M117" s="216"/>
      <c r="N117" s="216"/>
      <c r="O117" s="216"/>
    </row>
    <row r="118" spans="1:15" hidden="1" x14ac:dyDescent="0.2">
      <c r="A118" s="216"/>
      <c r="B118" s="216"/>
      <c r="C118" s="216"/>
      <c r="D118" s="294"/>
      <c r="E118" s="216"/>
      <c r="F118" s="216"/>
      <c r="G118" s="216"/>
      <c r="H118" s="216"/>
      <c r="I118" s="216"/>
      <c r="J118" s="216"/>
      <c r="K118" s="216"/>
      <c r="L118" s="216"/>
      <c r="M118" s="216"/>
      <c r="N118" s="216"/>
      <c r="O118" s="216"/>
    </row>
    <row r="119" spans="1:15" hidden="1" x14ac:dyDescent="0.2">
      <c r="A119" s="216"/>
      <c r="B119" s="216"/>
      <c r="C119" s="216"/>
      <c r="D119" s="294"/>
      <c r="E119" s="216"/>
      <c r="F119" s="216"/>
      <c r="G119" s="216"/>
      <c r="H119" s="216"/>
      <c r="I119" s="216"/>
      <c r="J119" s="216"/>
      <c r="K119" s="216"/>
      <c r="L119" s="216"/>
      <c r="M119" s="216"/>
      <c r="N119" s="216"/>
      <c r="O119" s="216"/>
    </row>
    <row r="120" spans="1:15" hidden="1" x14ac:dyDescent="0.2">
      <c r="A120" s="216"/>
      <c r="B120" s="216"/>
      <c r="C120" s="216"/>
      <c r="D120" s="294"/>
      <c r="E120" s="216"/>
      <c r="F120" s="216"/>
      <c r="G120" s="216"/>
      <c r="H120" s="216"/>
      <c r="I120" s="216"/>
      <c r="J120" s="216"/>
      <c r="K120" s="216"/>
      <c r="L120" s="216"/>
      <c r="M120" s="216"/>
      <c r="N120" s="216"/>
      <c r="O120" s="216"/>
    </row>
    <row r="121" spans="1:15" hidden="1" x14ac:dyDescent="0.2">
      <c r="A121" s="216"/>
      <c r="B121" s="216"/>
      <c r="C121" s="216"/>
      <c r="D121" s="294"/>
      <c r="E121" s="216"/>
      <c r="F121" s="216"/>
      <c r="G121" s="216"/>
      <c r="H121" s="216"/>
      <c r="I121" s="216"/>
      <c r="J121" s="216"/>
      <c r="K121" s="216"/>
      <c r="L121" s="216"/>
      <c r="M121" s="216"/>
      <c r="N121" s="216"/>
      <c r="O121" s="216"/>
    </row>
    <row r="122" spans="1:15" hidden="1" x14ac:dyDescent="0.2">
      <c r="A122" s="216"/>
      <c r="B122" s="216"/>
      <c r="C122" s="216"/>
      <c r="D122" s="294"/>
      <c r="E122" s="216"/>
      <c r="F122" s="216"/>
      <c r="G122" s="216"/>
      <c r="H122" s="216"/>
      <c r="I122" s="216"/>
      <c r="J122" s="216"/>
      <c r="K122" s="216"/>
      <c r="L122" s="216"/>
      <c r="M122" s="216"/>
      <c r="N122" s="216"/>
      <c r="O122" s="216"/>
    </row>
    <row r="123" spans="1:15" hidden="1" x14ac:dyDescent="0.2">
      <c r="A123" s="216"/>
      <c r="B123" s="216"/>
      <c r="C123" s="216"/>
      <c r="D123" s="294"/>
      <c r="E123" s="216"/>
      <c r="F123" s="216"/>
      <c r="G123" s="216"/>
      <c r="H123" s="216"/>
      <c r="I123" s="216"/>
      <c r="J123" s="216"/>
      <c r="K123" s="216"/>
      <c r="L123" s="216"/>
      <c r="M123" s="216"/>
      <c r="N123" s="216"/>
      <c r="O123" s="216"/>
    </row>
    <row r="124" spans="1:15" hidden="1" x14ac:dyDescent="0.2">
      <c r="A124" s="216"/>
      <c r="B124" s="216"/>
      <c r="C124" s="216"/>
      <c r="D124" s="294"/>
      <c r="E124" s="216"/>
      <c r="F124" s="216"/>
      <c r="G124" s="216"/>
      <c r="H124" s="216"/>
      <c r="I124" s="216"/>
      <c r="J124" s="216"/>
      <c r="K124" s="216"/>
      <c r="L124" s="216"/>
      <c r="M124" s="216"/>
      <c r="N124" s="216"/>
      <c r="O124" s="216"/>
    </row>
    <row r="125" spans="1:15" hidden="1" x14ac:dyDescent="0.2">
      <c r="A125" s="216"/>
      <c r="B125" s="216"/>
      <c r="C125" s="216"/>
      <c r="D125" s="294"/>
      <c r="E125" s="216"/>
      <c r="F125" s="216"/>
      <c r="G125" s="216"/>
      <c r="H125" s="216"/>
      <c r="I125" s="216"/>
      <c r="J125" s="216"/>
      <c r="K125" s="216"/>
      <c r="L125" s="216"/>
      <c r="M125" s="216"/>
      <c r="N125" s="216"/>
      <c r="O125" s="216"/>
    </row>
    <row r="126" spans="1:15" hidden="1" x14ac:dyDescent="0.2">
      <c r="A126" s="216"/>
      <c r="B126" s="216"/>
      <c r="C126" s="216"/>
      <c r="D126" s="294"/>
      <c r="E126" s="216"/>
      <c r="F126" s="216"/>
      <c r="G126" s="216"/>
      <c r="H126" s="216"/>
      <c r="I126" s="216"/>
      <c r="J126" s="216"/>
      <c r="K126" s="216"/>
      <c r="L126" s="216"/>
      <c r="M126" s="216"/>
      <c r="N126" s="216"/>
      <c r="O126" s="216"/>
    </row>
    <row r="127" spans="1:15" hidden="1" x14ac:dyDescent="0.2">
      <c r="A127" s="216"/>
      <c r="B127" s="216"/>
      <c r="C127" s="216"/>
      <c r="D127" s="294"/>
      <c r="E127" s="216"/>
      <c r="F127" s="216"/>
      <c r="G127" s="216"/>
      <c r="H127" s="216"/>
      <c r="I127" s="216"/>
      <c r="J127" s="216"/>
      <c r="K127" s="216"/>
      <c r="L127" s="216"/>
      <c r="M127" s="216"/>
      <c r="N127" s="216"/>
      <c r="O127" s="216"/>
    </row>
    <row r="128" spans="1:15" hidden="1" x14ac:dyDescent="0.2">
      <c r="A128" s="216"/>
      <c r="B128" s="216"/>
      <c r="C128" s="216"/>
      <c r="D128" s="294"/>
      <c r="E128" s="216"/>
      <c r="F128" s="216"/>
      <c r="G128" s="216"/>
      <c r="H128" s="216"/>
      <c r="I128" s="216"/>
      <c r="J128" s="216"/>
      <c r="K128" s="216"/>
      <c r="L128" s="216"/>
      <c r="M128" s="216"/>
      <c r="N128" s="216"/>
      <c r="O128" s="216"/>
    </row>
    <row r="129" spans="1:15" hidden="1" x14ac:dyDescent="0.2">
      <c r="A129" s="216"/>
      <c r="B129" s="216"/>
      <c r="C129" s="216"/>
      <c r="D129" s="294"/>
      <c r="E129" s="216"/>
      <c r="F129" s="216"/>
      <c r="G129" s="216"/>
      <c r="H129" s="216"/>
      <c r="I129" s="216"/>
      <c r="J129" s="216"/>
      <c r="K129" s="216"/>
      <c r="L129" s="216"/>
      <c r="M129" s="216"/>
      <c r="N129" s="216"/>
      <c r="O129" s="216"/>
    </row>
    <row r="130" spans="1:15" hidden="1" x14ac:dyDescent="0.2">
      <c r="A130" s="216"/>
      <c r="B130" s="216"/>
      <c r="C130" s="216"/>
      <c r="D130" s="294"/>
      <c r="E130" s="216"/>
      <c r="F130" s="216"/>
      <c r="G130" s="216"/>
      <c r="H130" s="216"/>
      <c r="I130" s="216"/>
      <c r="J130" s="216"/>
      <c r="K130" s="216"/>
      <c r="L130" s="216"/>
      <c r="M130" s="216"/>
      <c r="N130" s="216"/>
      <c r="O130" s="216"/>
    </row>
    <row r="131" spans="1:15" hidden="1" x14ac:dyDescent="0.2">
      <c r="A131" s="216"/>
      <c r="B131" s="216"/>
      <c r="C131" s="216"/>
      <c r="D131" s="294"/>
      <c r="E131" s="216"/>
      <c r="F131" s="216"/>
      <c r="G131" s="216"/>
      <c r="H131" s="216"/>
      <c r="I131" s="216"/>
      <c r="J131" s="216"/>
      <c r="K131" s="216"/>
      <c r="L131" s="216"/>
      <c r="M131" s="216"/>
      <c r="N131" s="216"/>
      <c r="O131" s="216"/>
    </row>
    <row r="132" spans="1:15" hidden="1" x14ac:dyDescent="0.2">
      <c r="A132" s="216"/>
      <c r="B132" s="216"/>
      <c r="C132" s="216"/>
      <c r="D132" s="294"/>
      <c r="E132" s="216"/>
      <c r="F132" s="216"/>
      <c r="G132" s="216"/>
      <c r="H132" s="216"/>
      <c r="I132" s="216"/>
      <c r="J132" s="216"/>
      <c r="K132" s="216"/>
      <c r="L132" s="216"/>
      <c r="M132" s="216"/>
      <c r="N132" s="216"/>
      <c r="O132" s="216"/>
    </row>
    <row r="133" spans="1:15" hidden="1" x14ac:dyDescent="0.2">
      <c r="A133" s="216"/>
      <c r="B133" s="216"/>
      <c r="C133" s="216"/>
      <c r="D133" s="294"/>
      <c r="E133" s="216"/>
      <c r="F133" s="216"/>
      <c r="G133" s="216"/>
      <c r="H133" s="216"/>
      <c r="I133" s="216"/>
      <c r="J133" s="216"/>
      <c r="K133" s="216"/>
      <c r="L133" s="216"/>
      <c r="M133" s="216"/>
      <c r="N133" s="216"/>
      <c r="O133" s="216"/>
    </row>
    <row r="134" spans="1:15" hidden="1" x14ac:dyDescent="0.2">
      <c r="A134" s="216"/>
      <c r="B134" s="216"/>
      <c r="C134" s="216"/>
      <c r="D134" s="294"/>
      <c r="E134" s="216"/>
      <c r="F134" s="216"/>
      <c r="G134" s="216"/>
      <c r="H134" s="216"/>
      <c r="I134" s="216"/>
      <c r="J134" s="216"/>
      <c r="K134" s="216"/>
      <c r="L134" s="216"/>
      <c r="M134" s="216"/>
      <c r="N134" s="216"/>
      <c r="O134" s="216"/>
    </row>
    <row r="135" spans="1:15" hidden="1" x14ac:dyDescent="0.2">
      <c r="A135" s="216"/>
      <c r="B135" s="216"/>
      <c r="C135" s="216"/>
      <c r="D135" s="294"/>
      <c r="E135" s="216"/>
      <c r="F135" s="216"/>
      <c r="G135" s="216"/>
      <c r="H135" s="216"/>
      <c r="I135" s="216"/>
      <c r="J135" s="216"/>
      <c r="K135" s="216"/>
      <c r="L135" s="216"/>
      <c r="M135" s="216"/>
      <c r="N135" s="216"/>
      <c r="O135" s="216"/>
    </row>
    <row r="136" spans="1:15" hidden="1" x14ac:dyDescent="0.2">
      <c r="A136" s="216"/>
      <c r="B136" s="216"/>
      <c r="C136" s="216"/>
      <c r="D136" s="294"/>
      <c r="E136" s="216"/>
      <c r="F136" s="216"/>
      <c r="G136" s="216"/>
      <c r="H136" s="216"/>
      <c r="I136" s="216"/>
      <c r="J136" s="216"/>
      <c r="K136" s="216"/>
      <c r="L136" s="216"/>
      <c r="M136" s="216"/>
      <c r="N136" s="216"/>
      <c r="O136" s="216"/>
    </row>
    <row r="137" spans="1:15" hidden="1" x14ac:dyDescent="0.2">
      <c r="A137" s="216"/>
      <c r="B137" s="216"/>
      <c r="C137" s="216"/>
      <c r="D137" s="294"/>
      <c r="E137" s="216"/>
      <c r="F137" s="216"/>
      <c r="G137" s="216"/>
      <c r="H137" s="216"/>
      <c r="I137" s="216"/>
      <c r="J137" s="216"/>
      <c r="K137" s="216"/>
      <c r="L137" s="216"/>
      <c r="M137" s="216"/>
      <c r="N137" s="216"/>
      <c r="O137" s="216"/>
    </row>
    <row r="138" spans="1:15" hidden="1" x14ac:dyDescent="0.2">
      <c r="A138" s="216"/>
      <c r="B138" s="216"/>
      <c r="C138" s="216"/>
      <c r="D138" s="294"/>
      <c r="E138" s="216"/>
      <c r="F138" s="216"/>
      <c r="G138" s="216"/>
      <c r="H138" s="216"/>
      <c r="I138" s="216"/>
      <c r="J138" s="216"/>
      <c r="K138" s="216"/>
      <c r="L138" s="216"/>
      <c r="M138" s="216"/>
      <c r="N138" s="216"/>
      <c r="O138" s="216"/>
    </row>
    <row r="139" spans="1:15" hidden="1" x14ac:dyDescent="0.2">
      <c r="A139" s="216"/>
      <c r="B139" s="216"/>
      <c r="C139" s="216"/>
      <c r="D139" s="294"/>
      <c r="E139" s="216"/>
      <c r="F139" s="216"/>
      <c r="G139" s="216"/>
      <c r="H139" s="216"/>
      <c r="I139" s="216"/>
      <c r="J139" s="216"/>
      <c r="K139" s="216"/>
      <c r="L139" s="216"/>
      <c r="M139" s="216"/>
      <c r="N139" s="216"/>
      <c r="O139" s="216"/>
    </row>
    <row r="140" spans="1:15" hidden="1" x14ac:dyDescent="0.2">
      <c r="A140" s="216"/>
      <c r="B140" s="216"/>
      <c r="C140" s="216"/>
      <c r="D140" s="294"/>
      <c r="E140" s="216"/>
      <c r="F140" s="216"/>
      <c r="G140" s="216"/>
      <c r="H140" s="216"/>
      <c r="I140" s="216"/>
      <c r="J140" s="216"/>
      <c r="K140" s="216"/>
      <c r="L140" s="216"/>
      <c r="M140" s="216"/>
      <c r="N140" s="216"/>
      <c r="O140" s="216"/>
    </row>
    <row r="141" spans="1:15" hidden="1" x14ac:dyDescent="0.2">
      <c r="A141" s="216"/>
      <c r="B141" s="216"/>
      <c r="C141" s="216"/>
      <c r="D141" s="294"/>
      <c r="E141" s="216"/>
      <c r="F141" s="216"/>
      <c r="G141" s="216"/>
      <c r="H141" s="216"/>
      <c r="I141" s="216"/>
      <c r="J141" s="216"/>
      <c r="K141" s="216"/>
      <c r="L141" s="216"/>
      <c r="M141" s="216"/>
      <c r="N141" s="216"/>
      <c r="O141" s="216"/>
    </row>
    <row r="142" spans="1:15" hidden="1" x14ac:dyDescent="0.2">
      <c r="A142" s="216"/>
      <c r="B142" s="216"/>
      <c r="C142" s="216"/>
      <c r="D142" s="216"/>
      <c r="E142" s="216"/>
      <c r="F142" s="216"/>
      <c r="G142" s="216"/>
      <c r="H142" s="216"/>
      <c r="I142" s="216"/>
      <c r="J142" s="216"/>
      <c r="K142" s="216"/>
      <c r="L142" s="216"/>
      <c r="M142" s="216"/>
      <c r="N142" s="216"/>
      <c r="O142" s="216"/>
    </row>
    <row r="143" spans="1:15" hidden="1" x14ac:dyDescent="0.2">
      <c r="A143" s="216"/>
      <c r="B143" s="216"/>
      <c r="C143" s="216"/>
      <c r="D143" s="294"/>
      <c r="E143" s="216"/>
      <c r="F143" s="216"/>
      <c r="G143" s="216"/>
      <c r="H143" s="216"/>
      <c r="I143" s="216"/>
      <c r="J143" s="216"/>
      <c r="K143" s="216"/>
      <c r="L143" s="216"/>
      <c r="M143" s="216"/>
      <c r="N143" s="216"/>
      <c r="O143" s="216"/>
    </row>
    <row r="144" spans="1:15" hidden="1" x14ac:dyDescent="0.2">
      <c r="A144" s="216"/>
      <c r="B144" s="216"/>
      <c r="C144" s="216"/>
      <c r="D144" s="294"/>
      <c r="E144" s="216"/>
      <c r="F144" s="216"/>
      <c r="G144" s="216"/>
      <c r="H144" s="216"/>
      <c r="I144" s="216"/>
      <c r="J144" s="216"/>
      <c r="K144" s="216"/>
      <c r="L144" s="216"/>
      <c r="M144" s="216"/>
      <c r="N144" s="216"/>
      <c r="O144" s="216"/>
    </row>
    <row r="145" spans="1:15" hidden="1" x14ac:dyDescent="0.2">
      <c r="A145" s="216"/>
      <c r="B145" s="216"/>
      <c r="C145" s="216"/>
      <c r="D145" s="294"/>
      <c r="E145" s="216"/>
      <c r="F145" s="216"/>
      <c r="G145" s="216"/>
      <c r="H145" s="216"/>
      <c r="I145" s="216"/>
      <c r="J145" s="216"/>
      <c r="K145" s="216"/>
      <c r="L145" s="216"/>
      <c r="M145" s="216"/>
      <c r="N145" s="216"/>
      <c r="O145" s="216"/>
    </row>
    <row r="146" spans="1:15" hidden="1" x14ac:dyDescent="0.2">
      <c r="A146" s="216"/>
      <c r="B146" s="216"/>
      <c r="C146" s="216"/>
      <c r="D146" s="294"/>
      <c r="E146" s="216"/>
      <c r="F146" s="216"/>
      <c r="G146" s="216"/>
      <c r="H146" s="216"/>
      <c r="I146" s="216"/>
      <c r="J146" s="216"/>
      <c r="K146" s="216"/>
      <c r="L146" s="216"/>
      <c r="M146" s="216"/>
      <c r="N146" s="216"/>
      <c r="O146" s="216"/>
    </row>
    <row r="147" spans="1:15" hidden="1" x14ac:dyDescent="0.2">
      <c r="A147" s="216"/>
      <c r="B147" s="216"/>
      <c r="C147" s="216"/>
      <c r="D147" s="294"/>
      <c r="E147" s="216"/>
      <c r="F147" s="216"/>
      <c r="G147" s="216"/>
      <c r="H147" s="216"/>
      <c r="I147" s="216"/>
      <c r="J147" s="216"/>
      <c r="K147" s="216"/>
      <c r="L147" s="216"/>
      <c r="M147" s="216"/>
      <c r="N147" s="216"/>
      <c r="O147" s="216"/>
    </row>
    <row r="148" spans="1:15" hidden="1" x14ac:dyDescent="0.2">
      <c r="A148" s="216"/>
      <c r="B148" s="216"/>
      <c r="C148" s="216"/>
      <c r="D148" s="294"/>
      <c r="E148" s="216"/>
      <c r="F148" s="216"/>
      <c r="G148" s="216"/>
      <c r="H148" s="216"/>
      <c r="I148" s="216"/>
      <c r="J148" s="216"/>
      <c r="K148" s="216"/>
      <c r="L148" s="216"/>
      <c r="M148" s="216"/>
      <c r="N148" s="216"/>
      <c r="O148" s="216"/>
    </row>
    <row r="149" spans="1:15" hidden="1" x14ac:dyDescent="0.2">
      <c r="A149" s="216"/>
      <c r="B149" s="216"/>
      <c r="C149" s="216"/>
      <c r="D149" s="294"/>
      <c r="E149" s="216"/>
      <c r="F149" s="216"/>
      <c r="G149" s="216"/>
      <c r="H149" s="216"/>
      <c r="I149" s="216"/>
      <c r="J149" s="216"/>
      <c r="K149" s="216"/>
      <c r="L149" s="216"/>
      <c r="M149" s="216"/>
      <c r="N149" s="216"/>
      <c r="O149" s="216"/>
    </row>
    <row r="150" spans="1:15" hidden="1" x14ac:dyDescent="0.2">
      <c r="A150" s="216"/>
      <c r="B150" s="216"/>
      <c r="C150" s="216"/>
      <c r="D150" s="294"/>
      <c r="E150" s="216"/>
      <c r="F150" s="216"/>
      <c r="G150" s="216"/>
      <c r="H150" s="216"/>
      <c r="I150" s="216"/>
      <c r="J150" s="216"/>
      <c r="K150" s="216"/>
      <c r="L150" s="216"/>
      <c r="M150" s="216"/>
      <c r="N150" s="216"/>
      <c r="O150" s="216"/>
    </row>
    <row r="151" spans="1:15" hidden="1" x14ac:dyDescent="0.2">
      <c r="A151" s="216"/>
      <c r="B151" s="216"/>
      <c r="C151" s="216"/>
      <c r="D151" s="294"/>
      <c r="E151" s="216"/>
      <c r="F151" s="216"/>
      <c r="G151" s="216"/>
      <c r="H151" s="216"/>
      <c r="I151" s="216"/>
      <c r="J151" s="216"/>
      <c r="K151" s="216"/>
      <c r="L151" s="216"/>
      <c r="M151" s="216"/>
      <c r="N151" s="216"/>
      <c r="O151" s="216"/>
    </row>
    <row r="152" spans="1:15" hidden="1" x14ac:dyDescent="0.2">
      <c r="A152" s="216"/>
      <c r="B152" s="216"/>
      <c r="C152" s="216"/>
      <c r="D152" s="294"/>
      <c r="E152" s="216"/>
      <c r="F152" s="216"/>
      <c r="G152" s="216"/>
      <c r="H152" s="216"/>
      <c r="I152" s="216"/>
      <c r="J152" s="216"/>
      <c r="K152" s="216"/>
      <c r="L152" s="216"/>
      <c r="M152" s="216"/>
      <c r="N152" s="216"/>
      <c r="O152" s="216"/>
    </row>
    <row r="153" spans="1:15" hidden="1" x14ac:dyDescent="0.2">
      <c r="A153" s="216"/>
      <c r="B153" s="216"/>
      <c r="C153" s="216"/>
      <c r="D153" s="294"/>
      <c r="E153" s="216"/>
      <c r="F153" s="216"/>
      <c r="G153" s="216"/>
      <c r="H153" s="216"/>
      <c r="I153" s="216"/>
      <c r="J153" s="216"/>
      <c r="K153" s="216"/>
      <c r="L153" s="216"/>
      <c r="M153" s="216"/>
      <c r="N153" s="216"/>
      <c r="O153" s="216"/>
    </row>
    <row r="154" spans="1:15" hidden="1" x14ac:dyDescent="0.2">
      <c r="A154" s="216"/>
      <c r="B154" s="216"/>
      <c r="C154" s="216"/>
      <c r="D154" s="294"/>
      <c r="E154" s="216"/>
      <c r="F154" s="216"/>
      <c r="G154" s="216"/>
      <c r="H154" s="216"/>
      <c r="I154" s="216"/>
      <c r="J154" s="216"/>
      <c r="K154" s="216"/>
      <c r="L154" s="216"/>
      <c r="M154" s="216"/>
      <c r="N154" s="216"/>
      <c r="O154" s="216"/>
    </row>
    <row r="155" spans="1:15" hidden="1" x14ac:dyDescent="0.2">
      <c r="A155" s="216"/>
      <c r="B155" s="216"/>
      <c r="C155" s="216"/>
      <c r="D155" s="294"/>
      <c r="E155" s="216"/>
      <c r="F155" s="216"/>
      <c r="G155" s="216"/>
      <c r="H155" s="216"/>
      <c r="I155" s="216"/>
      <c r="J155" s="216"/>
      <c r="K155" s="216"/>
      <c r="L155" s="216"/>
      <c r="M155" s="216"/>
      <c r="N155" s="216"/>
      <c r="O155" s="216"/>
    </row>
    <row r="156" spans="1:15" hidden="1" x14ac:dyDescent="0.2">
      <c r="A156" s="216"/>
      <c r="B156" s="216"/>
      <c r="C156" s="216"/>
      <c r="D156" s="294"/>
      <c r="E156" s="216"/>
      <c r="F156" s="216"/>
      <c r="G156" s="216"/>
      <c r="H156" s="216"/>
      <c r="I156" s="216"/>
      <c r="J156" s="216"/>
      <c r="K156" s="216"/>
      <c r="L156" s="216"/>
      <c r="M156" s="216"/>
      <c r="N156" s="216"/>
      <c r="O156" s="216"/>
    </row>
    <row r="157" spans="1:15" hidden="1" x14ac:dyDescent="0.2">
      <c r="A157" s="216"/>
      <c r="B157" s="216"/>
      <c r="C157" s="216"/>
      <c r="D157" s="294"/>
      <c r="E157" s="216"/>
      <c r="F157" s="216"/>
      <c r="G157" s="216"/>
      <c r="H157" s="216"/>
      <c r="I157" s="216"/>
      <c r="J157" s="216"/>
      <c r="K157" s="216"/>
      <c r="L157" s="216"/>
      <c r="M157" s="216"/>
      <c r="N157" s="216"/>
      <c r="O157" s="216"/>
    </row>
    <row r="158" spans="1:15" hidden="1" x14ac:dyDescent="0.2">
      <c r="A158" s="216"/>
      <c r="B158" s="216"/>
      <c r="C158" s="216"/>
      <c r="D158" s="294"/>
      <c r="E158" s="216"/>
      <c r="F158" s="216"/>
      <c r="G158" s="216"/>
      <c r="H158" s="216"/>
      <c r="I158" s="216"/>
      <c r="J158" s="216"/>
      <c r="K158" s="216"/>
      <c r="L158" s="216"/>
      <c r="M158" s="216"/>
      <c r="N158" s="216"/>
      <c r="O158" s="216"/>
    </row>
    <row r="159" spans="1:15" hidden="1" x14ac:dyDescent="0.2">
      <c r="A159" s="216"/>
      <c r="B159" s="216"/>
      <c r="C159" s="216"/>
      <c r="D159" s="294"/>
      <c r="E159" s="216"/>
      <c r="F159" s="216"/>
      <c r="G159" s="216"/>
      <c r="H159" s="216"/>
      <c r="I159" s="216"/>
      <c r="J159" s="216"/>
      <c r="K159" s="216"/>
      <c r="L159" s="216"/>
      <c r="M159" s="216"/>
      <c r="N159" s="216"/>
      <c r="O159" s="216"/>
    </row>
    <row r="160" spans="1:15" hidden="1" x14ac:dyDescent="0.2">
      <c r="A160" s="216"/>
      <c r="B160" s="216"/>
      <c r="C160" s="216"/>
      <c r="D160" s="294"/>
      <c r="E160" s="216"/>
      <c r="F160" s="216"/>
      <c r="G160" s="216"/>
      <c r="H160" s="216"/>
      <c r="I160" s="216"/>
      <c r="J160" s="216"/>
      <c r="K160" s="216"/>
      <c r="L160" s="216"/>
      <c r="M160" s="216"/>
      <c r="N160" s="216"/>
      <c r="O160" s="216"/>
    </row>
    <row r="161" spans="1:15" hidden="1" x14ac:dyDescent="0.2">
      <c r="A161" s="216"/>
      <c r="B161" s="216"/>
      <c r="C161" s="216"/>
      <c r="D161" s="294"/>
      <c r="E161" s="216"/>
      <c r="F161" s="216"/>
      <c r="G161" s="216"/>
      <c r="H161" s="216"/>
      <c r="I161" s="216"/>
      <c r="J161" s="216"/>
      <c r="K161" s="216"/>
      <c r="L161" s="216"/>
      <c r="M161" s="216"/>
      <c r="N161" s="216"/>
      <c r="O161" s="216"/>
    </row>
    <row r="162" spans="1:15" hidden="1" x14ac:dyDescent="0.2">
      <c r="A162" s="216"/>
      <c r="B162" s="216"/>
      <c r="C162" s="216"/>
      <c r="D162" s="294"/>
      <c r="E162" s="216"/>
      <c r="F162" s="216"/>
      <c r="G162" s="216"/>
      <c r="H162" s="216"/>
      <c r="I162" s="216"/>
      <c r="J162" s="216"/>
      <c r="K162" s="216"/>
      <c r="L162" s="216"/>
      <c r="M162" s="216"/>
      <c r="N162" s="216"/>
      <c r="O162" s="216"/>
    </row>
    <row r="163" spans="1:15" hidden="1" x14ac:dyDescent="0.2">
      <c r="A163" s="216"/>
      <c r="B163" s="216"/>
      <c r="C163" s="216"/>
      <c r="D163" s="294"/>
      <c r="E163" s="216"/>
      <c r="F163" s="216"/>
      <c r="G163" s="216"/>
      <c r="H163" s="216"/>
      <c r="I163" s="216"/>
      <c r="J163" s="216"/>
      <c r="K163" s="216"/>
      <c r="L163" s="216"/>
      <c r="M163" s="216"/>
      <c r="N163" s="216"/>
      <c r="O163" s="216"/>
    </row>
    <row r="164" spans="1:15" hidden="1" x14ac:dyDescent="0.2">
      <c r="A164" s="216"/>
      <c r="B164" s="216"/>
      <c r="C164" s="216"/>
      <c r="D164" s="294"/>
      <c r="E164" s="216"/>
      <c r="F164" s="216"/>
      <c r="G164" s="216"/>
      <c r="H164" s="216"/>
      <c r="I164" s="216"/>
      <c r="J164" s="216"/>
      <c r="K164" s="216"/>
      <c r="L164" s="216"/>
      <c r="M164" s="216"/>
      <c r="N164" s="216"/>
      <c r="O164" s="216"/>
    </row>
    <row r="165" spans="1:15" hidden="1" x14ac:dyDescent="0.2">
      <c r="A165" s="216"/>
      <c r="B165" s="216"/>
      <c r="C165" s="216"/>
      <c r="D165" s="294"/>
      <c r="E165" s="216"/>
      <c r="F165" s="216"/>
      <c r="G165" s="216"/>
      <c r="H165" s="216"/>
      <c r="I165" s="216"/>
      <c r="J165" s="216"/>
      <c r="K165" s="216"/>
      <c r="L165" s="216"/>
      <c r="M165" s="216"/>
      <c r="N165" s="216"/>
      <c r="O165" s="216"/>
    </row>
    <row r="166" spans="1:15" hidden="1" x14ac:dyDescent="0.2">
      <c r="A166" s="216"/>
      <c r="B166" s="216"/>
      <c r="C166" s="216"/>
      <c r="D166" s="216"/>
      <c r="E166" s="216"/>
      <c r="F166" s="216"/>
      <c r="G166" s="216"/>
      <c r="H166" s="216"/>
      <c r="I166" s="216"/>
      <c r="J166" s="216"/>
      <c r="K166" s="216"/>
      <c r="L166" s="216"/>
      <c r="M166" s="216"/>
      <c r="N166" s="216"/>
      <c r="O166" s="216"/>
    </row>
    <row r="167" spans="1:15" hidden="1" x14ac:dyDescent="0.2">
      <c r="A167" s="216"/>
      <c r="B167" s="216"/>
      <c r="C167" s="216"/>
      <c r="D167" s="294"/>
      <c r="E167" s="216"/>
      <c r="F167" s="216"/>
      <c r="G167" s="216"/>
      <c r="H167" s="216"/>
      <c r="I167" s="216"/>
      <c r="J167" s="216"/>
      <c r="K167" s="216"/>
      <c r="L167" s="216"/>
      <c r="M167" s="216"/>
      <c r="N167" s="216"/>
      <c r="O167" s="216"/>
    </row>
    <row r="168" spans="1:15" hidden="1" x14ac:dyDescent="0.2">
      <c r="A168" s="216"/>
      <c r="B168" s="216"/>
      <c r="C168" s="216"/>
      <c r="D168" s="294"/>
      <c r="E168" s="216"/>
      <c r="F168" s="216"/>
      <c r="G168" s="216"/>
      <c r="H168" s="216"/>
      <c r="I168" s="216"/>
      <c r="J168" s="216"/>
      <c r="K168" s="216"/>
      <c r="L168" s="216"/>
      <c r="M168" s="216"/>
      <c r="N168" s="216"/>
      <c r="O168" s="216"/>
    </row>
    <row r="169" spans="1:15" hidden="1" x14ac:dyDescent="0.2">
      <c r="A169" s="216"/>
      <c r="B169" s="216"/>
      <c r="C169" s="216"/>
      <c r="D169" s="294"/>
      <c r="E169" s="216"/>
      <c r="F169" s="216"/>
      <c r="G169" s="216"/>
      <c r="H169" s="216"/>
      <c r="I169" s="216"/>
      <c r="J169" s="216"/>
      <c r="K169" s="216"/>
      <c r="L169" s="216"/>
      <c r="M169" s="216"/>
      <c r="N169" s="216"/>
      <c r="O169" s="216"/>
    </row>
    <row r="170" spans="1:15" hidden="1" x14ac:dyDescent="0.2">
      <c r="A170" s="216"/>
      <c r="B170" s="216"/>
      <c r="C170" s="216"/>
      <c r="D170" s="294"/>
      <c r="E170" s="216"/>
      <c r="F170" s="216"/>
      <c r="G170" s="216"/>
      <c r="H170" s="216"/>
      <c r="I170" s="216"/>
      <c r="J170" s="216"/>
      <c r="K170" s="216"/>
      <c r="L170" s="216"/>
      <c r="M170" s="216"/>
      <c r="N170" s="216"/>
      <c r="O170" s="216"/>
    </row>
    <row r="171" spans="1:15" hidden="1" x14ac:dyDescent="0.2">
      <c r="A171" s="216"/>
      <c r="B171" s="216"/>
      <c r="C171" s="216"/>
      <c r="D171" s="294"/>
      <c r="E171" s="216"/>
      <c r="F171" s="216"/>
      <c r="G171" s="216"/>
      <c r="H171" s="216"/>
      <c r="I171" s="216"/>
      <c r="J171" s="216"/>
      <c r="K171" s="216"/>
      <c r="L171" s="216"/>
      <c r="M171" s="216"/>
      <c r="N171" s="216"/>
      <c r="O171" s="216"/>
    </row>
    <row r="172" spans="1:15" hidden="1" x14ac:dyDescent="0.2">
      <c r="A172" s="216"/>
      <c r="B172" s="216"/>
      <c r="C172" s="216"/>
      <c r="D172" s="294"/>
      <c r="E172" s="216"/>
      <c r="F172" s="216"/>
      <c r="G172" s="216"/>
      <c r="H172" s="216"/>
      <c r="I172" s="216"/>
      <c r="J172" s="216"/>
      <c r="K172" s="216"/>
      <c r="L172" s="216"/>
      <c r="M172" s="216"/>
      <c r="N172" s="216"/>
      <c r="O172" s="216"/>
    </row>
    <row r="173" spans="1:15" hidden="1" x14ac:dyDescent="0.2">
      <c r="A173" s="216"/>
      <c r="B173" s="216"/>
      <c r="C173" s="216"/>
      <c r="D173" s="294"/>
      <c r="E173" s="216"/>
      <c r="F173" s="216"/>
      <c r="G173" s="216"/>
      <c r="H173" s="216"/>
      <c r="I173" s="216"/>
      <c r="J173" s="216"/>
      <c r="K173" s="216"/>
      <c r="L173" s="216"/>
      <c r="M173" s="216"/>
      <c r="N173" s="216"/>
      <c r="O173" s="216"/>
    </row>
    <row r="174" spans="1:15" hidden="1" x14ac:dyDescent="0.2">
      <c r="A174" s="216"/>
      <c r="B174" s="216"/>
      <c r="C174" s="216"/>
      <c r="D174" s="294"/>
      <c r="E174" s="216"/>
      <c r="F174" s="216"/>
      <c r="G174" s="216"/>
      <c r="H174" s="216"/>
      <c r="I174" s="216"/>
      <c r="J174" s="216"/>
      <c r="K174" s="216"/>
      <c r="L174" s="216"/>
      <c r="M174" s="216"/>
      <c r="N174" s="216"/>
      <c r="O174" s="216"/>
    </row>
    <row r="175" spans="1:15" hidden="1" x14ac:dyDescent="0.2">
      <c r="A175" s="216"/>
      <c r="B175" s="216"/>
      <c r="C175" s="216"/>
      <c r="D175" s="294"/>
      <c r="E175" s="216"/>
      <c r="F175" s="216"/>
      <c r="G175" s="216"/>
      <c r="H175" s="216"/>
      <c r="I175" s="216"/>
      <c r="J175" s="216"/>
      <c r="K175" s="216"/>
      <c r="L175" s="216"/>
      <c r="M175" s="216"/>
      <c r="N175" s="216"/>
      <c r="O175" s="216"/>
    </row>
    <row r="176" spans="1:15" hidden="1" x14ac:dyDescent="0.2">
      <c r="A176" s="216"/>
      <c r="B176" s="216"/>
      <c r="C176" s="216"/>
      <c r="D176" s="294"/>
      <c r="E176" s="216"/>
      <c r="F176" s="216"/>
      <c r="G176" s="216"/>
      <c r="H176" s="216"/>
      <c r="I176" s="216"/>
      <c r="J176" s="216"/>
      <c r="K176" s="216"/>
      <c r="L176" s="216"/>
      <c r="M176" s="216"/>
      <c r="N176" s="216"/>
      <c r="O176" s="216"/>
    </row>
    <row r="177" spans="1:15" hidden="1" x14ac:dyDescent="0.2">
      <c r="A177" s="216"/>
      <c r="B177" s="216"/>
      <c r="C177" s="216"/>
      <c r="D177" s="294"/>
      <c r="E177" s="216"/>
      <c r="F177" s="216"/>
      <c r="G177" s="216"/>
      <c r="H177" s="216"/>
      <c r="I177" s="216"/>
      <c r="J177" s="216"/>
      <c r="K177" s="216"/>
      <c r="L177" s="216"/>
      <c r="M177" s="216"/>
      <c r="N177" s="216"/>
      <c r="O177" s="216"/>
    </row>
    <row r="178" spans="1:15" hidden="1" x14ac:dyDescent="0.2">
      <c r="A178" s="216"/>
      <c r="B178" s="216"/>
      <c r="C178" s="216"/>
      <c r="D178" s="294"/>
      <c r="E178" s="216"/>
      <c r="F178" s="216"/>
      <c r="G178" s="216"/>
      <c r="H178" s="216"/>
      <c r="I178" s="216"/>
      <c r="J178" s="216"/>
      <c r="K178" s="216"/>
      <c r="L178" s="216"/>
      <c r="M178" s="216"/>
      <c r="N178" s="216"/>
      <c r="O178" s="216"/>
    </row>
    <row r="179" spans="1:15" hidden="1" x14ac:dyDescent="0.2">
      <c r="A179" s="216"/>
      <c r="B179" s="216"/>
      <c r="C179" s="216"/>
      <c r="D179" s="294"/>
      <c r="E179" s="216"/>
      <c r="F179" s="216"/>
      <c r="G179" s="216"/>
      <c r="H179" s="216"/>
      <c r="I179" s="216"/>
      <c r="J179" s="216"/>
      <c r="K179" s="216"/>
      <c r="L179" s="216"/>
      <c r="M179" s="216"/>
      <c r="N179" s="216"/>
      <c r="O179" s="216"/>
    </row>
    <row r="180" spans="1:15" hidden="1" x14ac:dyDescent="0.2">
      <c r="A180" s="216"/>
      <c r="B180" s="216"/>
      <c r="C180" s="216"/>
      <c r="D180" s="294"/>
      <c r="E180" s="216"/>
      <c r="F180" s="216"/>
      <c r="G180" s="216"/>
      <c r="H180" s="216"/>
      <c r="I180" s="216"/>
      <c r="J180" s="216"/>
      <c r="K180" s="216"/>
      <c r="L180" s="216"/>
      <c r="M180" s="216"/>
      <c r="N180" s="216"/>
      <c r="O180" s="216"/>
    </row>
    <row r="181" spans="1:15" hidden="1" x14ac:dyDescent="0.2">
      <c r="A181" s="216"/>
      <c r="B181" s="216"/>
      <c r="C181" s="216"/>
      <c r="D181" s="294"/>
      <c r="E181" s="216"/>
      <c r="F181" s="216"/>
      <c r="G181" s="216"/>
      <c r="H181" s="216"/>
      <c r="I181" s="216"/>
      <c r="J181" s="216"/>
      <c r="K181" s="216"/>
      <c r="L181" s="216"/>
      <c r="M181" s="216"/>
      <c r="N181" s="216"/>
      <c r="O181" s="216"/>
    </row>
    <row r="182" spans="1:15" hidden="1" x14ac:dyDescent="0.2">
      <c r="A182" s="216"/>
      <c r="B182" s="216"/>
      <c r="C182" s="216"/>
      <c r="D182" s="294"/>
      <c r="E182" s="216"/>
      <c r="F182" s="216"/>
      <c r="G182" s="216"/>
      <c r="H182" s="216"/>
      <c r="I182" s="216"/>
      <c r="J182" s="216"/>
      <c r="K182" s="216"/>
      <c r="L182" s="216"/>
      <c r="M182" s="216"/>
      <c r="N182" s="216"/>
      <c r="O182" s="216"/>
    </row>
    <row r="183" spans="1:15" hidden="1" x14ac:dyDescent="0.2">
      <c r="A183" s="216"/>
      <c r="B183" s="216"/>
      <c r="C183" s="216"/>
      <c r="D183" s="294"/>
      <c r="E183" s="216"/>
      <c r="F183" s="216"/>
      <c r="G183" s="216"/>
      <c r="H183" s="216"/>
      <c r="I183" s="216"/>
      <c r="J183" s="216"/>
      <c r="K183" s="216"/>
      <c r="L183" s="216"/>
      <c r="M183" s="216"/>
      <c r="N183" s="216"/>
      <c r="O183" s="216"/>
    </row>
    <row r="184" spans="1:15" hidden="1" x14ac:dyDescent="0.2">
      <c r="A184" s="216"/>
      <c r="B184" s="216"/>
      <c r="C184" s="216"/>
      <c r="D184" s="294"/>
      <c r="E184" s="216"/>
      <c r="F184" s="216"/>
      <c r="G184" s="216"/>
      <c r="H184" s="216"/>
      <c r="I184" s="216"/>
      <c r="J184" s="216"/>
      <c r="K184" s="216"/>
      <c r="L184" s="216"/>
      <c r="M184" s="216"/>
      <c r="N184" s="216"/>
      <c r="O184" s="216"/>
    </row>
    <row r="185" spans="1:15" hidden="1" x14ac:dyDescent="0.2">
      <c r="A185" s="216"/>
      <c r="B185" s="216"/>
      <c r="C185" s="216"/>
      <c r="D185" s="294"/>
      <c r="E185" s="216"/>
      <c r="F185" s="216"/>
      <c r="G185" s="216"/>
      <c r="H185" s="216"/>
      <c r="I185" s="216"/>
      <c r="J185" s="216"/>
      <c r="K185" s="216"/>
      <c r="L185" s="216"/>
      <c r="M185" s="216"/>
      <c r="N185" s="216"/>
      <c r="O185" s="216"/>
    </row>
    <row r="186" spans="1:15" hidden="1" x14ac:dyDescent="0.2">
      <c r="A186" s="216"/>
      <c r="B186" s="216"/>
      <c r="C186" s="216"/>
      <c r="D186" s="294"/>
      <c r="E186" s="216"/>
      <c r="F186" s="216"/>
      <c r="G186" s="216"/>
      <c r="H186" s="216"/>
      <c r="I186" s="216"/>
      <c r="J186" s="216"/>
      <c r="K186" s="216"/>
      <c r="L186" s="216"/>
      <c r="M186" s="216"/>
      <c r="N186" s="216"/>
      <c r="O186" s="216"/>
    </row>
    <row r="187" spans="1:15" hidden="1" x14ac:dyDescent="0.2">
      <c r="A187" s="216"/>
      <c r="B187" s="216"/>
      <c r="C187" s="216"/>
      <c r="D187" s="294"/>
      <c r="E187" s="216"/>
      <c r="F187" s="216"/>
      <c r="G187" s="216"/>
      <c r="H187" s="216"/>
      <c r="I187" s="216"/>
      <c r="J187" s="216"/>
      <c r="K187" s="216"/>
      <c r="L187" s="216"/>
      <c r="M187" s="216"/>
      <c r="N187" s="216"/>
      <c r="O187" s="216"/>
    </row>
    <row r="188" spans="1:15" hidden="1" x14ac:dyDescent="0.2">
      <c r="A188" s="216"/>
      <c r="B188" s="216"/>
      <c r="C188" s="216"/>
      <c r="D188" s="294"/>
      <c r="E188" s="216"/>
      <c r="F188" s="216"/>
      <c r="G188" s="216"/>
      <c r="H188" s="216"/>
      <c r="I188" s="216"/>
      <c r="J188" s="216"/>
      <c r="K188" s="216"/>
      <c r="L188" s="216"/>
      <c r="M188" s="216"/>
      <c r="N188" s="216"/>
      <c r="O188" s="216"/>
    </row>
    <row r="189" spans="1:15" hidden="1" x14ac:dyDescent="0.2">
      <c r="A189" s="216"/>
      <c r="B189" s="216"/>
      <c r="C189" s="216"/>
      <c r="D189" s="294"/>
      <c r="E189" s="216"/>
      <c r="F189" s="216"/>
      <c r="G189" s="216"/>
      <c r="H189" s="216"/>
      <c r="I189" s="216"/>
      <c r="J189" s="216"/>
      <c r="K189" s="216"/>
      <c r="L189" s="216"/>
      <c r="M189" s="216"/>
      <c r="N189" s="216"/>
      <c r="O189" s="216"/>
    </row>
    <row r="190" spans="1:15" hidden="1" x14ac:dyDescent="0.2">
      <c r="A190" s="216"/>
      <c r="B190" s="216"/>
      <c r="C190" s="216"/>
      <c r="D190" s="294"/>
      <c r="E190" s="216"/>
      <c r="F190" s="216"/>
      <c r="G190" s="216"/>
      <c r="H190" s="216"/>
      <c r="I190" s="216"/>
      <c r="J190" s="216"/>
      <c r="K190" s="216"/>
      <c r="L190" s="216"/>
      <c r="M190" s="216"/>
      <c r="N190" s="216"/>
      <c r="O190" s="216"/>
    </row>
    <row r="191" spans="1:15" hidden="1" x14ac:dyDescent="0.2">
      <c r="A191" s="216"/>
      <c r="B191" s="216"/>
      <c r="C191" s="216"/>
      <c r="D191" s="294"/>
      <c r="E191" s="216"/>
      <c r="F191" s="216"/>
      <c r="G191" s="216"/>
      <c r="H191" s="216"/>
      <c r="I191" s="216"/>
      <c r="J191" s="216"/>
      <c r="K191" s="216"/>
      <c r="L191" s="216"/>
      <c r="M191" s="216"/>
      <c r="N191" s="216"/>
      <c r="O191" s="216"/>
    </row>
    <row r="192" spans="1:15" hidden="1" x14ac:dyDescent="0.2">
      <c r="A192" s="216"/>
      <c r="B192" s="216"/>
      <c r="C192" s="216"/>
      <c r="D192" s="294"/>
      <c r="E192" s="216"/>
      <c r="F192" s="216"/>
      <c r="G192" s="216"/>
      <c r="H192" s="216"/>
      <c r="I192" s="216"/>
      <c r="J192" s="216"/>
      <c r="K192" s="216"/>
      <c r="L192" s="216"/>
      <c r="M192" s="216"/>
      <c r="N192" s="216"/>
      <c r="O192" s="216"/>
    </row>
    <row r="193" spans="1:15" hidden="1" x14ac:dyDescent="0.2">
      <c r="A193" s="216"/>
      <c r="B193" s="216"/>
      <c r="C193" s="216"/>
      <c r="D193" s="294"/>
      <c r="E193" s="216"/>
      <c r="F193" s="216"/>
      <c r="G193" s="216"/>
      <c r="H193" s="216"/>
      <c r="I193" s="216"/>
      <c r="J193" s="216"/>
      <c r="K193" s="216"/>
      <c r="L193" s="216"/>
      <c r="M193" s="216"/>
      <c r="N193" s="216"/>
      <c r="O193" s="216"/>
    </row>
    <row r="194" spans="1:15" hidden="1" x14ac:dyDescent="0.2">
      <c r="A194" s="216"/>
      <c r="B194" s="216"/>
      <c r="C194" s="216"/>
      <c r="D194" s="294"/>
      <c r="E194" s="216"/>
      <c r="F194" s="216"/>
      <c r="G194" s="216"/>
      <c r="H194" s="216"/>
      <c r="I194" s="216"/>
      <c r="J194" s="216"/>
      <c r="K194" s="216"/>
      <c r="L194" s="216"/>
      <c r="M194" s="216"/>
      <c r="N194" s="216"/>
      <c r="O194" s="216"/>
    </row>
    <row r="195" spans="1:15" hidden="1" x14ac:dyDescent="0.2">
      <c r="A195" s="216"/>
      <c r="B195" s="216"/>
      <c r="C195" s="216"/>
      <c r="D195" s="216"/>
      <c r="E195" s="216"/>
      <c r="F195" s="216"/>
      <c r="G195" s="216"/>
      <c r="H195" s="216"/>
      <c r="I195" s="216"/>
      <c r="J195" s="216"/>
      <c r="K195" s="216"/>
      <c r="L195" s="216"/>
      <c r="M195" s="216"/>
      <c r="N195" s="216"/>
      <c r="O195" s="216"/>
    </row>
    <row r="196" spans="1:15" hidden="1" x14ac:dyDescent="0.2">
      <c r="A196" s="216"/>
      <c r="B196" s="216"/>
      <c r="C196" s="216"/>
      <c r="D196" s="294"/>
      <c r="E196" s="216"/>
      <c r="F196" s="216"/>
      <c r="G196" s="216"/>
      <c r="H196" s="216"/>
      <c r="I196" s="216"/>
      <c r="J196" s="216"/>
      <c r="K196" s="216"/>
      <c r="L196" s="216"/>
      <c r="M196" s="216"/>
      <c r="N196" s="216"/>
      <c r="O196" s="216"/>
    </row>
    <row r="197" spans="1:15" hidden="1" x14ac:dyDescent="0.2">
      <c r="A197" s="216"/>
      <c r="B197" s="216"/>
      <c r="C197" s="216"/>
      <c r="D197" s="294"/>
      <c r="E197" s="216"/>
      <c r="F197" s="216"/>
      <c r="G197" s="216"/>
      <c r="H197" s="216"/>
      <c r="I197" s="216"/>
      <c r="J197" s="216"/>
      <c r="K197" s="216"/>
      <c r="L197" s="216"/>
      <c r="M197" s="216"/>
      <c r="N197" s="216"/>
      <c r="O197" s="216"/>
    </row>
    <row r="198" spans="1:15" hidden="1" x14ac:dyDescent="0.2">
      <c r="A198" s="216"/>
      <c r="B198" s="216"/>
      <c r="C198" s="216"/>
      <c r="D198" s="294"/>
      <c r="E198" s="216"/>
      <c r="F198" s="216"/>
      <c r="G198" s="216"/>
      <c r="H198" s="216"/>
      <c r="I198" s="216"/>
      <c r="J198" s="216"/>
      <c r="K198" s="216"/>
      <c r="L198" s="216"/>
      <c r="M198" s="216"/>
      <c r="N198" s="216"/>
      <c r="O198" s="216"/>
    </row>
    <row r="199" spans="1:15" hidden="1" x14ac:dyDescent="0.2">
      <c r="A199" s="216"/>
      <c r="B199" s="216"/>
      <c r="C199" s="216"/>
      <c r="D199" s="294"/>
      <c r="E199" s="216"/>
      <c r="F199" s="216"/>
      <c r="G199" s="216"/>
      <c r="H199" s="216"/>
      <c r="I199" s="216"/>
      <c r="J199" s="216"/>
      <c r="K199" s="216"/>
      <c r="L199" s="216"/>
      <c r="M199" s="216"/>
      <c r="N199" s="216"/>
      <c r="O199" s="216"/>
    </row>
    <row r="200" spans="1:15" hidden="1" x14ac:dyDescent="0.2">
      <c r="A200" s="216"/>
      <c r="B200" s="216"/>
      <c r="C200" s="216"/>
      <c r="D200" s="294"/>
      <c r="E200" s="216"/>
      <c r="F200" s="216"/>
      <c r="G200" s="216"/>
      <c r="H200" s="216"/>
      <c r="I200" s="216"/>
      <c r="J200" s="216"/>
      <c r="K200" s="216"/>
      <c r="L200" s="216"/>
      <c r="M200" s="216"/>
      <c r="N200" s="216"/>
      <c r="O200" s="216"/>
    </row>
    <row r="201" spans="1:15" hidden="1" x14ac:dyDescent="0.2">
      <c r="A201" s="216"/>
      <c r="B201" s="216"/>
      <c r="C201" s="216"/>
      <c r="D201" s="294"/>
      <c r="E201" s="216"/>
      <c r="F201" s="216"/>
      <c r="G201" s="216"/>
      <c r="H201" s="216"/>
      <c r="I201" s="216"/>
      <c r="J201" s="216"/>
      <c r="K201" s="216"/>
      <c r="L201" s="216"/>
      <c r="M201" s="216"/>
      <c r="N201" s="216"/>
      <c r="O201" s="216"/>
    </row>
    <row r="202" spans="1:15" hidden="1" x14ac:dyDescent="0.2">
      <c r="A202" s="216"/>
      <c r="B202" s="216"/>
      <c r="C202" s="216"/>
      <c r="D202" s="294"/>
      <c r="E202" s="216"/>
      <c r="F202" s="216"/>
      <c r="G202" s="216"/>
      <c r="H202" s="216"/>
      <c r="I202" s="216"/>
      <c r="J202" s="216"/>
      <c r="K202" s="216"/>
      <c r="L202" s="216"/>
      <c r="M202" s="216"/>
      <c r="N202" s="216"/>
      <c r="O202" s="216"/>
    </row>
    <row r="203" spans="1:15" hidden="1" x14ac:dyDescent="0.2">
      <c r="A203" s="216"/>
      <c r="B203" s="216"/>
      <c r="C203" s="216"/>
      <c r="D203" s="294"/>
      <c r="E203" s="216"/>
      <c r="F203" s="216"/>
      <c r="G203" s="216"/>
      <c r="H203" s="216"/>
      <c r="I203" s="216"/>
      <c r="J203" s="216"/>
      <c r="K203" s="216"/>
      <c r="L203" s="216"/>
      <c r="M203" s="216"/>
      <c r="N203" s="216"/>
      <c r="O203" s="216"/>
    </row>
    <row r="204" spans="1:15" hidden="1" x14ac:dyDescent="0.2">
      <c r="A204" s="216"/>
      <c r="B204" s="216"/>
      <c r="C204" s="216"/>
      <c r="D204" s="294"/>
      <c r="E204" s="216"/>
      <c r="F204" s="216"/>
      <c r="G204" s="216"/>
      <c r="H204" s="216"/>
      <c r="I204" s="216"/>
      <c r="J204" s="216"/>
      <c r="K204" s="216"/>
      <c r="L204" s="216"/>
      <c r="M204" s="216"/>
      <c r="N204" s="216"/>
      <c r="O204" s="216"/>
    </row>
    <row r="205" spans="1:15" hidden="1" x14ac:dyDescent="0.2">
      <c r="A205" s="216"/>
      <c r="B205" s="216"/>
      <c r="C205" s="216"/>
      <c r="D205" s="294"/>
      <c r="E205" s="216"/>
      <c r="F205" s="216"/>
      <c r="G205" s="216"/>
      <c r="H205" s="216"/>
      <c r="I205" s="216"/>
      <c r="J205" s="216"/>
      <c r="K205" s="216"/>
      <c r="L205" s="216"/>
      <c r="M205" s="216"/>
      <c r="N205" s="216"/>
      <c r="O205" s="216"/>
    </row>
    <row r="206" spans="1:15" hidden="1" x14ac:dyDescent="0.2">
      <c r="A206" s="216"/>
      <c r="B206" s="216"/>
      <c r="C206" s="216"/>
      <c r="D206" s="294"/>
      <c r="E206" s="216"/>
      <c r="F206" s="216"/>
      <c r="G206" s="216"/>
      <c r="H206" s="216"/>
      <c r="I206" s="216"/>
      <c r="J206" s="216"/>
      <c r="K206" s="216"/>
      <c r="L206" s="216"/>
      <c r="M206" s="216"/>
      <c r="N206" s="216"/>
      <c r="O206" s="216"/>
    </row>
    <row r="207" spans="1:15" hidden="1" x14ac:dyDescent="0.2">
      <c r="A207" s="216"/>
      <c r="B207" s="216"/>
      <c r="C207" s="216"/>
      <c r="D207" s="294"/>
      <c r="E207" s="216"/>
      <c r="F207" s="216"/>
      <c r="G207" s="216"/>
      <c r="H207" s="216"/>
      <c r="I207" s="216"/>
      <c r="J207" s="216"/>
      <c r="K207" s="216"/>
      <c r="L207" s="216"/>
      <c r="M207" s="216"/>
      <c r="N207" s="216"/>
      <c r="O207" s="216"/>
    </row>
    <row r="208" spans="1:15" hidden="1" x14ac:dyDescent="0.2">
      <c r="A208" s="216"/>
      <c r="B208" s="216"/>
      <c r="C208" s="216"/>
      <c r="D208" s="294"/>
      <c r="E208" s="216"/>
      <c r="F208" s="216"/>
      <c r="G208" s="216"/>
      <c r="H208" s="216"/>
      <c r="I208" s="216"/>
      <c r="J208" s="216"/>
      <c r="K208" s="216"/>
      <c r="L208" s="216"/>
      <c r="M208" s="216"/>
      <c r="N208" s="216"/>
      <c r="O208" s="216"/>
    </row>
    <row r="209" spans="1:15" hidden="1" x14ac:dyDescent="0.2">
      <c r="A209" s="216"/>
      <c r="B209" s="216"/>
      <c r="C209" s="216"/>
      <c r="D209" s="294"/>
      <c r="E209" s="216"/>
      <c r="F209" s="216"/>
      <c r="G209" s="216"/>
      <c r="H209" s="216"/>
      <c r="I209" s="216"/>
      <c r="J209" s="216"/>
      <c r="K209" s="216"/>
      <c r="L209" s="216"/>
      <c r="M209" s="216"/>
      <c r="N209" s="216"/>
      <c r="O209" s="216"/>
    </row>
    <row r="210" spans="1:15" hidden="1" x14ac:dyDescent="0.2">
      <c r="A210" s="216"/>
      <c r="B210" s="216"/>
      <c r="C210" s="216"/>
      <c r="D210" s="294"/>
      <c r="E210" s="216"/>
      <c r="F210" s="216"/>
      <c r="G210" s="216"/>
      <c r="H210" s="216"/>
      <c r="I210" s="216"/>
      <c r="J210" s="216"/>
      <c r="K210" s="216"/>
      <c r="L210" s="216"/>
      <c r="M210" s="216"/>
      <c r="N210" s="216"/>
      <c r="O210" s="216"/>
    </row>
    <row r="211" spans="1:15" hidden="1" x14ac:dyDescent="0.2">
      <c r="A211" s="216"/>
      <c r="B211" s="216"/>
      <c r="C211" s="216"/>
      <c r="D211" s="294"/>
      <c r="E211" s="216"/>
      <c r="F211" s="216"/>
      <c r="G211" s="216"/>
      <c r="H211" s="216"/>
      <c r="I211" s="216"/>
      <c r="J211" s="216"/>
      <c r="K211" s="216"/>
      <c r="L211" s="216"/>
      <c r="M211" s="216"/>
      <c r="N211" s="216"/>
      <c r="O211" s="216"/>
    </row>
    <row r="212" spans="1:15" hidden="1" x14ac:dyDescent="0.2">
      <c r="A212" s="216"/>
      <c r="B212" s="216"/>
      <c r="C212" s="216"/>
      <c r="D212" s="294"/>
      <c r="E212" s="216"/>
      <c r="F212" s="216"/>
      <c r="G212" s="216"/>
      <c r="H212" s="216"/>
      <c r="I212" s="216"/>
      <c r="J212" s="216"/>
      <c r="K212" s="216"/>
      <c r="L212" s="216"/>
      <c r="M212" s="216"/>
      <c r="N212" s="216"/>
      <c r="O212" s="216"/>
    </row>
    <row r="213" spans="1:15" hidden="1" x14ac:dyDescent="0.2">
      <c r="A213" s="216"/>
      <c r="B213" s="216"/>
      <c r="C213" s="216"/>
      <c r="D213" s="294"/>
      <c r="E213" s="216"/>
      <c r="F213" s="216"/>
      <c r="G213" s="216"/>
      <c r="H213" s="216"/>
      <c r="I213" s="216"/>
      <c r="J213" s="216"/>
      <c r="K213" s="216"/>
      <c r="L213" s="216"/>
      <c r="M213" s="216"/>
      <c r="N213" s="216"/>
      <c r="O213" s="216"/>
    </row>
    <row r="214" spans="1:15" hidden="1" x14ac:dyDescent="0.2">
      <c r="A214" s="216"/>
      <c r="B214" s="216"/>
      <c r="C214" s="216"/>
      <c r="D214" s="294"/>
      <c r="E214" s="216"/>
      <c r="F214" s="216"/>
      <c r="G214" s="216"/>
      <c r="H214" s="216"/>
      <c r="I214" s="216"/>
      <c r="J214" s="216"/>
      <c r="K214" s="216"/>
      <c r="L214" s="216"/>
      <c r="M214" s="216"/>
      <c r="N214" s="216"/>
      <c r="O214" s="216"/>
    </row>
    <row r="215" spans="1:15" hidden="1" x14ac:dyDescent="0.2">
      <c r="A215" s="216"/>
      <c r="B215" s="216"/>
      <c r="C215" s="216"/>
      <c r="D215" s="294"/>
      <c r="E215" s="216"/>
      <c r="F215" s="216"/>
      <c r="G215" s="216"/>
      <c r="H215" s="216"/>
      <c r="I215" s="216"/>
      <c r="J215" s="216"/>
      <c r="K215" s="216"/>
      <c r="L215" s="216"/>
      <c r="M215" s="216"/>
      <c r="N215" s="216"/>
      <c r="O215" s="216"/>
    </row>
    <row r="216" spans="1:15" hidden="1" x14ac:dyDescent="0.2">
      <c r="A216" s="216"/>
      <c r="B216" s="216"/>
      <c r="C216" s="216"/>
      <c r="D216" s="294"/>
      <c r="E216" s="216"/>
      <c r="F216" s="216"/>
      <c r="G216" s="216"/>
      <c r="H216" s="216"/>
      <c r="I216" s="216"/>
      <c r="J216" s="216"/>
      <c r="K216" s="216"/>
      <c r="L216" s="216"/>
      <c r="M216" s="216"/>
      <c r="N216" s="216"/>
      <c r="O216" s="216"/>
    </row>
    <row r="217" spans="1:15" hidden="1" x14ac:dyDescent="0.2">
      <c r="A217" s="216"/>
      <c r="B217" s="216"/>
      <c r="C217" s="216"/>
      <c r="D217" s="294"/>
      <c r="E217" s="216"/>
      <c r="F217" s="216"/>
      <c r="G217" s="216"/>
      <c r="H217" s="216"/>
      <c r="I217" s="216"/>
      <c r="J217" s="216"/>
      <c r="K217" s="216"/>
      <c r="L217" s="216"/>
      <c r="M217" s="216"/>
      <c r="N217" s="216"/>
      <c r="O217" s="216"/>
    </row>
    <row r="218" spans="1:15" hidden="1" x14ac:dyDescent="0.2">
      <c r="A218" s="216"/>
      <c r="B218" s="216"/>
      <c r="C218" s="216"/>
      <c r="D218" s="294"/>
      <c r="E218" s="216"/>
      <c r="F218" s="216"/>
      <c r="G218" s="216"/>
      <c r="H218" s="216"/>
      <c r="I218" s="216"/>
      <c r="J218" s="216"/>
      <c r="K218" s="216"/>
      <c r="L218" s="216"/>
      <c r="M218" s="216"/>
      <c r="N218" s="216"/>
      <c r="O218" s="216"/>
    </row>
    <row r="219" spans="1:15" hidden="1" x14ac:dyDescent="0.2">
      <c r="A219" s="216"/>
      <c r="B219" s="216"/>
      <c r="C219" s="216"/>
      <c r="D219" s="294"/>
      <c r="E219" s="216"/>
      <c r="F219" s="216"/>
      <c r="G219" s="216"/>
      <c r="H219" s="216"/>
      <c r="I219" s="216"/>
      <c r="J219" s="216"/>
      <c r="K219" s="216"/>
      <c r="L219" s="216"/>
      <c r="M219" s="216"/>
      <c r="N219" s="216"/>
      <c r="O219" s="216"/>
    </row>
    <row r="220" spans="1:15" hidden="1" x14ac:dyDescent="0.2">
      <c r="A220" s="216"/>
      <c r="B220" s="216"/>
      <c r="C220" s="216"/>
      <c r="D220" s="294"/>
      <c r="E220" s="216"/>
      <c r="F220" s="216"/>
      <c r="G220" s="216"/>
      <c r="H220" s="216"/>
      <c r="I220" s="216"/>
      <c r="J220" s="216"/>
      <c r="K220" s="216"/>
      <c r="L220" s="216"/>
      <c r="M220" s="216"/>
      <c r="N220" s="216"/>
      <c r="O220" s="216"/>
    </row>
    <row r="221" spans="1:15" hidden="1" x14ac:dyDescent="0.2">
      <c r="A221" s="216"/>
      <c r="B221" s="216"/>
      <c r="C221" s="216"/>
      <c r="D221" s="294"/>
      <c r="E221" s="216"/>
      <c r="F221" s="216"/>
      <c r="G221" s="216"/>
      <c r="H221" s="216"/>
      <c r="I221" s="216"/>
      <c r="J221" s="216"/>
      <c r="K221" s="216"/>
      <c r="L221" s="216"/>
      <c r="M221" s="216"/>
      <c r="N221" s="216"/>
      <c r="O221" s="216"/>
    </row>
    <row r="222" spans="1:15" hidden="1" x14ac:dyDescent="0.2">
      <c r="A222" s="216"/>
      <c r="B222" s="216"/>
      <c r="C222" s="216"/>
      <c r="D222" s="294"/>
      <c r="E222" s="216"/>
      <c r="F222" s="216"/>
      <c r="G222" s="216"/>
      <c r="H222" s="216"/>
      <c r="I222" s="216"/>
      <c r="J222" s="216"/>
      <c r="K222" s="216"/>
      <c r="L222" s="216"/>
      <c r="M222" s="216"/>
      <c r="N222" s="216"/>
      <c r="O222" s="216"/>
    </row>
    <row r="223" spans="1:15" hidden="1" x14ac:dyDescent="0.2">
      <c r="A223" s="216"/>
      <c r="B223" s="216"/>
      <c r="C223" s="216"/>
      <c r="D223" s="294"/>
      <c r="E223" s="216"/>
      <c r="F223" s="216"/>
      <c r="G223" s="216"/>
      <c r="H223" s="216"/>
      <c r="I223" s="216"/>
      <c r="J223" s="216"/>
      <c r="K223" s="216"/>
      <c r="L223" s="216"/>
      <c r="M223" s="216"/>
      <c r="N223" s="216"/>
      <c r="O223" s="216"/>
    </row>
    <row r="224" spans="1:15" hidden="1" x14ac:dyDescent="0.2">
      <c r="A224" s="216"/>
      <c r="B224" s="216"/>
      <c r="C224" s="216"/>
      <c r="D224" s="294"/>
      <c r="E224" s="216"/>
      <c r="F224" s="216"/>
      <c r="G224" s="216"/>
      <c r="H224" s="216"/>
      <c r="I224" s="216"/>
      <c r="J224" s="216"/>
      <c r="K224" s="216"/>
      <c r="L224" s="216"/>
      <c r="M224" s="216"/>
      <c r="N224" s="216"/>
      <c r="O224" s="216"/>
    </row>
    <row r="225" spans="1:15" hidden="1" x14ac:dyDescent="0.2">
      <c r="A225" s="216"/>
      <c r="B225" s="216"/>
      <c r="C225" s="216"/>
      <c r="D225" s="294"/>
      <c r="E225" s="216"/>
      <c r="F225" s="216"/>
      <c r="G225" s="216"/>
      <c r="H225" s="216"/>
      <c r="I225" s="216"/>
      <c r="J225" s="216"/>
      <c r="K225" s="216"/>
      <c r="L225" s="216"/>
      <c r="M225" s="216"/>
      <c r="N225" s="216"/>
      <c r="O225" s="216"/>
    </row>
    <row r="226" spans="1:15" hidden="1" x14ac:dyDescent="0.2">
      <c r="A226" s="216"/>
      <c r="B226" s="216"/>
      <c r="C226" s="216"/>
      <c r="D226" s="294"/>
      <c r="E226" s="216"/>
      <c r="F226" s="216"/>
      <c r="G226" s="216"/>
      <c r="H226" s="216"/>
      <c r="I226" s="216"/>
      <c r="J226" s="216"/>
      <c r="K226" s="216"/>
      <c r="L226" s="216"/>
      <c r="M226" s="216"/>
      <c r="N226" s="216"/>
      <c r="O226" s="216"/>
    </row>
    <row r="227" spans="1:15" hidden="1" x14ac:dyDescent="0.2">
      <c r="A227" s="216"/>
      <c r="B227" s="216"/>
      <c r="C227" s="216"/>
      <c r="D227" s="294"/>
      <c r="E227" s="216"/>
      <c r="F227" s="216"/>
      <c r="G227" s="216"/>
      <c r="H227" s="216"/>
      <c r="I227" s="216"/>
      <c r="J227" s="216"/>
      <c r="K227" s="216"/>
      <c r="L227" s="216"/>
      <c r="M227" s="216"/>
      <c r="N227" s="216"/>
      <c r="O227" s="216"/>
    </row>
    <row r="228" spans="1:15" hidden="1" x14ac:dyDescent="0.2">
      <c r="A228" s="216"/>
      <c r="B228" s="216"/>
      <c r="C228" s="216"/>
      <c r="D228" s="294"/>
      <c r="E228" s="216"/>
      <c r="F228" s="216"/>
      <c r="G228" s="216"/>
      <c r="H228" s="216"/>
      <c r="I228" s="216"/>
      <c r="J228" s="216"/>
      <c r="K228" s="216"/>
      <c r="L228" s="216"/>
      <c r="M228" s="216"/>
      <c r="N228" s="216"/>
      <c r="O228" s="216"/>
    </row>
    <row r="229" spans="1:15" hidden="1" x14ac:dyDescent="0.2">
      <c r="A229" s="216"/>
      <c r="B229" s="216"/>
      <c r="C229" s="216"/>
      <c r="D229" s="294"/>
      <c r="E229" s="216"/>
      <c r="F229" s="216"/>
      <c r="G229" s="216"/>
      <c r="H229" s="216"/>
      <c r="I229" s="216"/>
      <c r="J229" s="216"/>
      <c r="K229" s="216"/>
      <c r="L229" s="216"/>
      <c r="M229" s="216"/>
      <c r="N229" s="216"/>
      <c r="O229" s="216"/>
    </row>
    <row r="230" spans="1:15" hidden="1" x14ac:dyDescent="0.2">
      <c r="A230" s="216"/>
      <c r="B230" s="216"/>
      <c r="C230" s="216"/>
      <c r="D230" s="294"/>
      <c r="E230" s="216"/>
      <c r="F230" s="216"/>
      <c r="G230" s="216"/>
      <c r="H230" s="216"/>
      <c r="I230" s="216"/>
      <c r="J230" s="216"/>
      <c r="K230" s="216"/>
      <c r="L230" s="216"/>
      <c r="M230" s="216"/>
      <c r="N230" s="216"/>
      <c r="O230" s="216"/>
    </row>
    <row r="231" spans="1:15" hidden="1" x14ac:dyDescent="0.2">
      <c r="A231" s="216"/>
      <c r="B231" s="216"/>
      <c r="C231" s="216"/>
      <c r="D231" s="294"/>
      <c r="E231" s="216"/>
      <c r="F231" s="216"/>
      <c r="G231" s="216"/>
      <c r="H231" s="216"/>
      <c r="I231" s="216"/>
      <c r="J231" s="216"/>
      <c r="K231" s="216"/>
      <c r="L231" s="216"/>
      <c r="M231" s="216"/>
      <c r="N231" s="216"/>
      <c r="O231" s="216"/>
    </row>
    <row r="232" spans="1:15" hidden="1" x14ac:dyDescent="0.2">
      <c r="A232" s="216"/>
      <c r="B232" s="216"/>
      <c r="C232" s="216"/>
      <c r="D232" s="216"/>
      <c r="E232" s="216"/>
      <c r="F232" s="216"/>
      <c r="G232" s="216"/>
      <c r="H232" s="216"/>
      <c r="I232" s="216"/>
      <c r="J232" s="216"/>
      <c r="K232" s="216"/>
      <c r="L232" s="216"/>
      <c r="M232" s="216"/>
      <c r="N232" s="216"/>
      <c r="O232" s="216"/>
    </row>
    <row r="233" spans="1:15" hidden="1" x14ac:dyDescent="0.2">
      <c r="A233" s="216"/>
      <c r="B233" s="216"/>
      <c r="C233" s="216"/>
      <c r="D233" s="294"/>
      <c r="E233" s="216"/>
      <c r="F233" s="216"/>
      <c r="G233" s="216"/>
      <c r="H233" s="216"/>
      <c r="I233" s="216"/>
      <c r="J233" s="216"/>
      <c r="K233" s="216"/>
      <c r="L233" s="216"/>
      <c r="M233" s="216"/>
      <c r="N233" s="216"/>
      <c r="O233" s="216"/>
    </row>
    <row r="234" spans="1:15" hidden="1" x14ac:dyDescent="0.2">
      <c r="A234" s="216"/>
      <c r="B234" s="216"/>
      <c r="C234" s="216"/>
      <c r="D234" s="294"/>
      <c r="E234" s="216"/>
      <c r="F234" s="216"/>
      <c r="G234" s="216"/>
      <c r="H234" s="216"/>
      <c r="I234" s="216"/>
      <c r="J234" s="216"/>
      <c r="K234" s="216"/>
      <c r="L234" s="216"/>
      <c r="M234" s="216"/>
      <c r="N234" s="216"/>
      <c r="O234" s="216"/>
    </row>
    <row r="235" spans="1:15" hidden="1" x14ac:dyDescent="0.2">
      <c r="A235" s="216"/>
      <c r="B235" s="216"/>
      <c r="C235" s="216"/>
      <c r="D235" s="294"/>
      <c r="E235" s="216"/>
      <c r="F235" s="216"/>
      <c r="G235" s="216"/>
      <c r="H235" s="216"/>
      <c r="I235" s="216"/>
      <c r="J235" s="216"/>
      <c r="K235" s="216"/>
      <c r="L235" s="216"/>
      <c r="M235" s="216"/>
      <c r="N235" s="216"/>
      <c r="O235" s="216"/>
    </row>
    <row r="236" spans="1:15" hidden="1" x14ac:dyDescent="0.2">
      <c r="A236" s="216"/>
      <c r="B236" s="216"/>
      <c r="C236" s="216"/>
      <c r="D236" s="294"/>
      <c r="E236" s="216"/>
      <c r="F236" s="216"/>
      <c r="G236" s="216"/>
      <c r="H236" s="216"/>
      <c r="I236" s="216"/>
      <c r="J236" s="216"/>
      <c r="K236" s="216"/>
      <c r="L236" s="216"/>
      <c r="M236" s="216"/>
      <c r="N236" s="216"/>
      <c r="O236" s="216"/>
    </row>
    <row r="237" spans="1:15" hidden="1" x14ac:dyDescent="0.2">
      <c r="A237" s="216"/>
      <c r="B237" s="216"/>
      <c r="C237" s="216"/>
      <c r="D237" s="294"/>
      <c r="E237" s="216"/>
      <c r="F237" s="216"/>
      <c r="G237" s="216"/>
      <c r="H237" s="216"/>
      <c r="I237" s="216"/>
      <c r="J237" s="216"/>
      <c r="K237" s="216"/>
      <c r="L237" s="216"/>
      <c r="M237" s="216"/>
      <c r="N237" s="216"/>
      <c r="O237" s="216"/>
    </row>
    <row r="238" spans="1:15" hidden="1" x14ac:dyDescent="0.2">
      <c r="A238" s="216"/>
      <c r="B238" s="216"/>
      <c r="C238" s="216"/>
      <c r="D238" s="294"/>
      <c r="E238" s="216"/>
      <c r="F238" s="216"/>
      <c r="G238" s="216"/>
      <c r="H238" s="216"/>
      <c r="I238" s="216"/>
      <c r="J238" s="216"/>
      <c r="K238" s="216"/>
      <c r="L238" s="216"/>
      <c r="M238" s="216"/>
      <c r="N238" s="216"/>
      <c r="O238" s="216"/>
    </row>
    <row r="239" spans="1:15" hidden="1" x14ac:dyDescent="0.2">
      <c r="A239" s="216"/>
      <c r="B239" s="216"/>
      <c r="C239" s="216"/>
      <c r="D239" s="294"/>
      <c r="E239" s="216"/>
      <c r="F239" s="216"/>
      <c r="G239" s="216"/>
      <c r="H239" s="216"/>
      <c r="I239" s="216"/>
      <c r="J239" s="216"/>
      <c r="K239" s="216"/>
      <c r="L239" s="216"/>
      <c r="M239" s="216"/>
      <c r="N239" s="216"/>
      <c r="O239" s="216"/>
    </row>
    <row r="240" spans="1:15" hidden="1" x14ac:dyDescent="0.2">
      <c r="A240" s="216"/>
      <c r="B240" s="216"/>
      <c r="C240" s="216"/>
      <c r="D240" s="294"/>
      <c r="E240" s="216"/>
      <c r="F240" s="216"/>
      <c r="G240" s="216"/>
      <c r="H240" s="216"/>
      <c r="I240" s="216"/>
      <c r="J240" s="216"/>
      <c r="K240" s="216"/>
      <c r="L240" s="216"/>
      <c r="M240" s="216"/>
      <c r="N240" s="216"/>
      <c r="O240" s="216"/>
    </row>
    <row r="241" spans="1:15" hidden="1" x14ac:dyDescent="0.2">
      <c r="A241" s="216"/>
      <c r="B241" s="216"/>
      <c r="C241" s="216"/>
      <c r="D241" s="294"/>
      <c r="E241" s="216"/>
      <c r="F241" s="216"/>
      <c r="G241" s="216"/>
      <c r="H241" s="216"/>
      <c r="I241" s="216"/>
      <c r="J241" s="216"/>
      <c r="K241" s="216"/>
      <c r="L241" s="216"/>
      <c r="M241" s="216"/>
      <c r="N241" s="216"/>
      <c r="O241" s="216"/>
    </row>
    <row r="242" spans="1:15" hidden="1" x14ac:dyDescent="0.2">
      <c r="A242" s="216"/>
      <c r="B242" s="216"/>
      <c r="C242" s="216"/>
      <c r="D242" s="294"/>
      <c r="E242" s="216"/>
      <c r="F242" s="216"/>
      <c r="G242" s="216"/>
      <c r="H242" s="216"/>
      <c r="I242" s="216"/>
      <c r="J242" s="216"/>
      <c r="K242" s="216"/>
      <c r="L242" s="216"/>
      <c r="M242" s="216"/>
      <c r="N242" s="216"/>
      <c r="O242" s="216"/>
    </row>
    <row r="243" spans="1:15" hidden="1" x14ac:dyDescent="0.2">
      <c r="A243" s="216"/>
      <c r="B243" s="216"/>
      <c r="C243" s="216"/>
      <c r="D243" s="294"/>
      <c r="E243" s="216"/>
      <c r="F243" s="216"/>
      <c r="G243" s="216"/>
      <c r="H243" s="216"/>
      <c r="I243" s="216"/>
      <c r="J243" s="216"/>
      <c r="K243" s="216"/>
      <c r="L243" s="216"/>
      <c r="M243" s="216"/>
      <c r="N243" s="216"/>
      <c r="O243" s="216"/>
    </row>
    <row r="244" spans="1:15" hidden="1" x14ac:dyDescent="0.2">
      <c r="A244" s="216"/>
      <c r="B244" s="216"/>
      <c r="C244" s="216"/>
      <c r="D244" s="294"/>
      <c r="E244" s="216"/>
      <c r="F244" s="216"/>
      <c r="G244" s="216"/>
      <c r="H244" s="216"/>
      <c r="I244" s="216"/>
      <c r="J244" s="216"/>
      <c r="K244" s="216"/>
      <c r="L244" s="216"/>
      <c r="M244" s="216"/>
      <c r="N244" s="216"/>
      <c r="O244" s="216"/>
    </row>
    <row r="245" spans="1:15" hidden="1" x14ac:dyDescent="0.2">
      <c r="A245" s="216"/>
      <c r="B245" s="216"/>
      <c r="C245" s="216"/>
      <c r="D245" s="294"/>
      <c r="E245" s="216"/>
      <c r="F245" s="216"/>
      <c r="G245" s="216"/>
      <c r="H245" s="216"/>
      <c r="I245" s="216"/>
      <c r="J245" s="216"/>
      <c r="K245" s="216"/>
      <c r="L245" s="216"/>
      <c r="M245" s="216"/>
      <c r="N245" s="216"/>
      <c r="O245" s="216"/>
    </row>
    <row r="246" spans="1:15" hidden="1" x14ac:dyDescent="0.2">
      <c r="A246" s="216"/>
      <c r="B246" s="216"/>
      <c r="C246" s="216"/>
      <c r="D246" s="294"/>
      <c r="E246" s="216"/>
      <c r="F246" s="216"/>
      <c r="G246" s="216"/>
      <c r="H246" s="216"/>
      <c r="I246" s="216"/>
      <c r="J246" s="216"/>
      <c r="K246" s="216"/>
      <c r="L246" s="216"/>
      <c r="M246" s="216"/>
      <c r="N246" s="216"/>
      <c r="O246" s="216"/>
    </row>
    <row r="247" spans="1:15" hidden="1" x14ac:dyDescent="0.2">
      <c r="A247" s="216"/>
      <c r="B247" s="216"/>
      <c r="C247" s="216"/>
      <c r="D247" s="294"/>
      <c r="E247" s="216"/>
      <c r="F247" s="216"/>
      <c r="G247" s="216"/>
      <c r="H247" s="216"/>
      <c r="I247" s="216"/>
      <c r="J247" s="216"/>
      <c r="K247" s="216"/>
      <c r="L247" s="216"/>
      <c r="M247" s="216"/>
      <c r="N247" s="216"/>
      <c r="O247" s="216"/>
    </row>
    <row r="248" spans="1:15" hidden="1" x14ac:dyDescent="0.2">
      <c r="A248" s="216"/>
      <c r="B248" s="216"/>
      <c r="C248" s="216"/>
      <c r="D248" s="294"/>
      <c r="E248" s="216"/>
      <c r="F248" s="216"/>
      <c r="G248" s="216"/>
      <c r="H248" s="216"/>
      <c r="I248" s="216"/>
      <c r="J248" s="216"/>
      <c r="K248" s="216"/>
      <c r="L248" s="216"/>
      <c r="M248" s="216"/>
      <c r="N248" s="216"/>
      <c r="O248" s="216"/>
    </row>
    <row r="249" spans="1:15" hidden="1" x14ac:dyDescent="0.2">
      <c r="A249" s="216"/>
      <c r="B249" s="216"/>
      <c r="C249" s="216"/>
      <c r="D249" s="294"/>
      <c r="E249" s="216"/>
      <c r="F249" s="216"/>
      <c r="G249" s="216"/>
      <c r="H249" s="216"/>
      <c r="I249" s="216"/>
      <c r="J249" s="216"/>
      <c r="K249" s="216"/>
      <c r="L249" s="216"/>
      <c r="M249" s="216"/>
      <c r="N249" s="216"/>
      <c r="O249" s="216"/>
    </row>
    <row r="250" spans="1:15" hidden="1" x14ac:dyDescent="0.2">
      <c r="A250" s="216"/>
      <c r="B250" s="216"/>
      <c r="C250" s="216"/>
      <c r="D250" s="294"/>
      <c r="E250" s="216"/>
      <c r="F250" s="216"/>
      <c r="G250" s="216"/>
      <c r="H250" s="216"/>
      <c r="I250" s="216"/>
      <c r="J250" s="216"/>
      <c r="K250" s="216"/>
      <c r="L250" s="216"/>
      <c r="M250" s="216"/>
      <c r="N250" s="216"/>
      <c r="O250" s="216"/>
    </row>
    <row r="251" spans="1:15" hidden="1" x14ac:dyDescent="0.2">
      <c r="A251" s="216"/>
      <c r="B251" s="216"/>
      <c r="C251" s="216"/>
      <c r="D251" s="216"/>
      <c r="E251" s="216"/>
      <c r="F251" s="216"/>
      <c r="G251" s="216"/>
      <c r="H251" s="216"/>
      <c r="I251" s="216"/>
      <c r="J251" s="216"/>
      <c r="K251" s="216"/>
      <c r="L251" s="216"/>
      <c r="M251" s="216"/>
      <c r="N251" s="216"/>
      <c r="O251" s="216"/>
    </row>
    <row r="252" spans="1:15" hidden="1" x14ac:dyDescent="0.2">
      <c r="A252" s="216"/>
      <c r="B252" s="216"/>
      <c r="C252" s="216"/>
      <c r="D252" s="294"/>
      <c r="E252" s="294"/>
      <c r="F252" s="216"/>
      <c r="G252" s="216"/>
      <c r="H252" s="216"/>
      <c r="I252" s="216"/>
      <c r="J252" s="216"/>
      <c r="K252" s="216"/>
      <c r="L252" s="216"/>
      <c r="M252" s="216"/>
      <c r="N252" s="216"/>
      <c r="O252" s="216"/>
    </row>
    <row r="253" spans="1:15" hidden="1" x14ac:dyDescent="0.2">
      <c r="A253" s="216"/>
      <c r="B253" s="216"/>
      <c r="C253" s="216"/>
      <c r="D253" s="294"/>
      <c r="E253" s="294"/>
      <c r="F253" s="216"/>
      <c r="G253" s="216"/>
      <c r="H253" s="216"/>
      <c r="I253" s="216"/>
      <c r="J253" s="216"/>
      <c r="K253" s="216"/>
      <c r="L253" s="216"/>
      <c r="M253" s="216"/>
      <c r="N253" s="216"/>
      <c r="O253" s="216"/>
    </row>
    <row r="254" spans="1:15" hidden="1" x14ac:dyDescent="0.2">
      <c r="A254" s="216"/>
      <c r="B254" s="216"/>
      <c r="C254" s="216"/>
      <c r="D254" s="294"/>
      <c r="E254" s="294"/>
      <c r="F254" s="216"/>
      <c r="G254" s="216"/>
      <c r="H254" s="216"/>
      <c r="I254" s="216"/>
      <c r="J254" s="216"/>
      <c r="K254" s="216"/>
      <c r="L254" s="216"/>
      <c r="M254" s="216"/>
      <c r="N254" s="216"/>
      <c r="O254" s="216"/>
    </row>
    <row r="255" spans="1:15" hidden="1" x14ac:dyDescent="0.2">
      <c r="A255" s="216"/>
      <c r="B255" s="216"/>
      <c r="C255" s="216"/>
      <c r="D255" s="294"/>
      <c r="E255" s="294"/>
      <c r="F255" s="216"/>
      <c r="G255" s="216"/>
      <c r="H255" s="216"/>
      <c r="I255" s="216"/>
      <c r="J255" s="216"/>
      <c r="K255" s="216"/>
      <c r="L255" s="216"/>
      <c r="M255" s="216"/>
      <c r="N255" s="216"/>
      <c r="O255" s="216"/>
    </row>
    <row r="256" spans="1:15" hidden="1" x14ac:dyDescent="0.2">
      <c r="A256" s="216"/>
      <c r="B256" s="216"/>
      <c r="C256" s="216"/>
      <c r="D256" s="294"/>
      <c r="E256" s="294"/>
      <c r="F256" s="216"/>
      <c r="G256" s="216"/>
      <c r="H256" s="216"/>
      <c r="I256" s="216"/>
      <c r="J256" s="216"/>
      <c r="K256" s="216"/>
      <c r="L256" s="216"/>
      <c r="M256" s="216"/>
      <c r="N256" s="216"/>
      <c r="O256" s="216"/>
    </row>
    <row r="257" spans="1:15" hidden="1" x14ac:dyDescent="0.2">
      <c r="A257" s="216"/>
      <c r="B257" s="216"/>
      <c r="C257" s="216"/>
      <c r="D257" s="294"/>
      <c r="E257" s="294"/>
      <c r="F257" s="216"/>
      <c r="G257" s="216"/>
      <c r="H257" s="216"/>
      <c r="I257" s="216"/>
      <c r="J257" s="216"/>
      <c r="K257" s="216"/>
      <c r="L257" s="216"/>
      <c r="M257" s="216"/>
      <c r="N257" s="216"/>
      <c r="O257" s="216"/>
    </row>
    <row r="258" spans="1:15" hidden="1" x14ac:dyDescent="0.2">
      <c r="A258" s="216"/>
      <c r="B258" s="216"/>
      <c r="C258" s="216"/>
      <c r="D258" s="294"/>
      <c r="E258" s="294"/>
      <c r="F258" s="216"/>
      <c r="G258" s="216"/>
      <c r="H258" s="216"/>
      <c r="I258" s="216"/>
      <c r="J258" s="216"/>
      <c r="K258" s="216"/>
      <c r="L258" s="216"/>
      <c r="M258" s="216"/>
      <c r="N258" s="216"/>
      <c r="O258" s="216"/>
    </row>
    <row r="259" spans="1:15" hidden="1" x14ac:dyDescent="0.2">
      <c r="A259" s="216"/>
      <c r="B259" s="216"/>
      <c r="C259" s="216"/>
      <c r="D259" s="294"/>
      <c r="E259" s="294"/>
      <c r="F259" s="216"/>
      <c r="G259" s="216"/>
      <c r="H259" s="216"/>
      <c r="I259" s="216"/>
      <c r="J259" s="216"/>
      <c r="K259" s="216"/>
      <c r="L259" s="216"/>
      <c r="M259" s="216"/>
      <c r="N259" s="216"/>
      <c r="O259" s="216"/>
    </row>
    <row r="260" spans="1:15" hidden="1" x14ac:dyDescent="0.2">
      <c r="A260" s="216"/>
      <c r="B260" s="216"/>
      <c r="C260" s="216"/>
      <c r="D260" s="294"/>
      <c r="E260" s="294"/>
      <c r="F260" s="216"/>
      <c r="G260" s="216"/>
      <c r="H260" s="216"/>
      <c r="I260" s="216"/>
      <c r="J260" s="216"/>
      <c r="K260" s="216"/>
      <c r="L260" s="216"/>
      <c r="M260" s="216"/>
      <c r="N260" s="216"/>
      <c r="O260" s="216"/>
    </row>
    <row r="261" spans="1:15" hidden="1" x14ac:dyDescent="0.2">
      <c r="A261" s="216"/>
      <c r="B261" s="216"/>
      <c r="C261" s="216"/>
      <c r="D261" s="294"/>
      <c r="E261" s="294"/>
      <c r="F261" s="216"/>
      <c r="G261" s="216"/>
      <c r="H261" s="216"/>
      <c r="I261" s="216"/>
      <c r="J261" s="216"/>
      <c r="K261" s="216"/>
      <c r="L261" s="216"/>
      <c r="M261" s="216"/>
      <c r="N261" s="216"/>
      <c r="O261" s="216"/>
    </row>
    <row r="262" spans="1:15" hidden="1" x14ac:dyDescent="0.2">
      <c r="A262" s="216"/>
      <c r="B262" s="216"/>
      <c r="C262" s="216"/>
      <c r="D262" s="294"/>
      <c r="E262" s="294"/>
      <c r="F262" s="216"/>
      <c r="G262" s="216"/>
      <c r="H262" s="216"/>
      <c r="I262" s="216"/>
      <c r="J262" s="216"/>
      <c r="K262" s="216"/>
      <c r="L262" s="216"/>
      <c r="M262" s="216"/>
      <c r="N262" s="216"/>
      <c r="O262" s="216"/>
    </row>
    <row r="263" spans="1:15" hidden="1" x14ac:dyDescent="0.2">
      <c r="A263" s="216"/>
      <c r="B263" s="216"/>
      <c r="C263" s="216"/>
      <c r="D263" s="294"/>
      <c r="E263" s="294"/>
      <c r="F263" s="216"/>
      <c r="G263" s="216"/>
      <c r="H263" s="216"/>
      <c r="I263" s="216"/>
      <c r="J263" s="216"/>
      <c r="K263" s="216"/>
      <c r="L263" s="216"/>
      <c r="M263" s="216"/>
      <c r="N263" s="216"/>
      <c r="O263" s="216"/>
    </row>
    <row r="264" spans="1:15" hidden="1" x14ac:dyDescent="0.2">
      <c r="A264" s="216"/>
      <c r="B264" s="216"/>
      <c r="C264" s="216"/>
      <c r="D264" s="294"/>
      <c r="E264" s="294"/>
      <c r="F264" s="216"/>
      <c r="G264" s="216"/>
      <c r="H264" s="216"/>
      <c r="I264" s="216"/>
      <c r="J264" s="216"/>
      <c r="K264" s="216"/>
      <c r="L264" s="216"/>
      <c r="M264" s="216"/>
      <c r="N264" s="216"/>
      <c r="O264" s="216"/>
    </row>
    <row r="265" spans="1:15" hidden="1" x14ac:dyDescent="0.2">
      <c r="A265" s="216"/>
      <c r="B265" s="216"/>
      <c r="C265" s="216"/>
      <c r="D265" s="294"/>
      <c r="E265" s="294"/>
      <c r="F265" s="216"/>
      <c r="G265" s="216"/>
      <c r="H265" s="216"/>
      <c r="I265" s="216"/>
      <c r="J265" s="216"/>
      <c r="K265" s="216"/>
      <c r="L265" s="216"/>
      <c r="M265" s="216"/>
      <c r="N265" s="216"/>
      <c r="O265" s="216"/>
    </row>
    <row r="266" spans="1:15" hidden="1" x14ac:dyDescent="0.2">
      <c r="A266" s="216"/>
      <c r="B266" s="216"/>
      <c r="C266" s="216"/>
      <c r="D266" s="294"/>
      <c r="E266" s="294"/>
      <c r="F266" s="216"/>
      <c r="G266" s="216"/>
      <c r="H266" s="216"/>
      <c r="I266" s="216"/>
      <c r="J266" s="216"/>
      <c r="K266" s="216"/>
      <c r="L266" s="216"/>
      <c r="M266" s="216"/>
      <c r="N266" s="216"/>
      <c r="O266" s="216"/>
    </row>
    <row r="267" spans="1:15" hidden="1" x14ac:dyDescent="0.2">
      <c r="A267" s="216"/>
      <c r="B267" s="216"/>
      <c r="C267" s="216"/>
      <c r="D267" s="216"/>
      <c r="E267" s="216"/>
      <c r="F267" s="216"/>
      <c r="G267" s="216"/>
      <c r="H267" s="216"/>
      <c r="I267" s="216"/>
      <c r="J267" s="216"/>
      <c r="K267" s="216"/>
      <c r="L267" s="216"/>
      <c r="M267" s="216"/>
      <c r="N267" s="216"/>
      <c r="O267" s="216"/>
    </row>
    <row r="268" spans="1:15" hidden="1" x14ac:dyDescent="0.2">
      <c r="A268" s="216"/>
      <c r="B268" s="216"/>
      <c r="C268" s="216"/>
      <c r="D268" s="216"/>
      <c r="E268" s="216"/>
      <c r="F268" s="216"/>
      <c r="G268" s="216"/>
      <c r="H268" s="216"/>
      <c r="I268" s="216"/>
      <c r="J268" s="216"/>
      <c r="K268" s="216"/>
      <c r="L268" s="216"/>
      <c r="M268" s="216"/>
      <c r="N268" s="216"/>
      <c r="O268" s="216"/>
    </row>
    <row r="269" spans="1:15" hidden="1" x14ac:dyDescent="0.2">
      <c r="A269" s="216"/>
      <c r="B269" s="216"/>
      <c r="C269" s="216"/>
      <c r="D269" s="216"/>
      <c r="E269" s="216"/>
      <c r="F269" s="216"/>
      <c r="G269" s="216"/>
      <c r="H269" s="216"/>
      <c r="I269" s="216"/>
      <c r="J269" s="216"/>
      <c r="K269" s="216"/>
      <c r="L269" s="216"/>
      <c r="M269" s="216"/>
      <c r="N269" s="216"/>
      <c r="O269" s="216"/>
    </row>
    <row r="270" spans="1:15" hidden="1" x14ac:dyDescent="0.2">
      <c r="A270" s="216"/>
      <c r="B270" s="216"/>
      <c r="C270" s="216"/>
      <c r="D270" s="216"/>
      <c r="E270" s="216"/>
      <c r="F270" s="216"/>
      <c r="G270" s="216"/>
      <c r="H270" s="216"/>
      <c r="I270" s="216"/>
      <c r="J270" s="216"/>
      <c r="K270" s="216"/>
      <c r="L270" s="216"/>
      <c r="M270" s="216"/>
      <c r="N270" s="216"/>
      <c r="O270" s="216"/>
    </row>
    <row r="271" spans="1:15" hidden="1" x14ac:dyDescent="0.2">
      <c r="A271" s="216"/>
      <c r="B271" s="216"/>
      <c r="C271" s="216"/>
      <c r="D271" s="216"/>
      <c r="E271" s="216"/>
      <c r="F271" s="216"/>
      <c r="G271" s="216"/>
      <c r="H271" s="216"/>
      <c r="I271" s="216"/>
      <c r="J271" s="216"/>
      <c r="K271" s="216"/>
      <c r="L271" s="216"/>
      <c r="M271" s="216"/>
      <c r="N271" s="216"/>
      <c r="O271" s="216"/>
    </row>
    <row r="272" spans="1:15" hidden="1" x14ac:dyDescent="0.2">
      <c r="A272" s="216"/>
      <c r="B272" s="216"/>
      <c r="C272" s="216"/>
      <c r="D272" s="216"/>
      <c r="E272" s="216"/>
      <c r="F272" s="216"/>
      <c r="G272" s="216"/>
      <c r="H272" s="216"/>
      <c r="I272" s="216"/>
      <c r="J272" s="216"/>
      <c r="K272" s="216"/>
      <c r="L272" s="216"/>
      <c r="M272" s="216"/>
      <c r="N272" s="216"/>
      <c r="O272" s="216"/>
    </row>
    <row r="273" spans="1:15" hidden="1" x14ac:dyDescent="0.2">
      <c r="A273" s="216"/>
      <c r="B273" s="216"/>
      <c r="C273" s="216"/>
      <c r="D273" s="216"/>
      <c r="E273" s="216"/>
      <c r="F273" s="216"/>
      <c r="G273" s="216"/>
      <c r="H273" s="216"/>
      <c r="I273" s="216"/>
      <c r="J273" s="216"/>
      <c r="K273" s="216"/>
      <c r="L273" s="216"/>
      <c r="M273" s="216"/>
      <c r="N273" s="216"/>
      <c r="O273" s="216"/>
    </row>
    <row r="274" spans="1:15" hidden="1" x14ac:dyDescent="0.2">
      <c r="A274" s="216"/>
      <c r="B274" s="216"/>
      <c r="C274" s="216"/>
      <c r="D274" s="216"/>
      <c r="E274" s="216"/>
      <c r="F274" s="216"/>
      <c r="G274" s="216"/>
      <c r="H274" s="216"/>
      <c r="I274" s="216"/>
      <c r="J274" s="216"/>
      <c r="K274" s="216"/>
      <c r="L274" s="216"/>
      <c r="M274" s="216"/>
      <c r="N274" s="216"/>
      <c r="O274" s="216"/>
    </row>
    <row r="275" spans="1:15" hidden="1" x14ac:dyDescent="0.2">
      <c r="A275" s="216"/>
      <c r="B275" s="216"/>
      <c r="C275" s="216"/>
      <c r="D275" s="216"/>
      <c r="E275" s="216"/>
      <c r="F275" s="216"/>
      <c r="G275" s="216"/>
      <c r="H275" s="216"/>
      <c r="I275" s="216"/>
      <c r="J275" s="216"/>
      <c r="K275" s="216"/>
      <c r="L275" s="216"/>
      <c r="M275" s="216"/>
      <c r="N275" s="216"/>
      <c r="O275" s="216"/>
    </row>
    <row r="276" spans="1:15" hidden="1" x14ac:dyDescent="0.2">
      <c r="A276" s="216"/>
      <c r="B276" s="216"/>
      <c r="C276" s="216"/>
      <c r="D276" s="216"/>
      <c r="E276" s="216"/>
      <c r="F276" s="216"/>
      <c r="G276" s="216"/>
      <c r="H276" s="216"/>
      <c r="I276" s="216"/>
      <c r="J276" s="216"/>
      <c r="K276" s="216"/>
      <c r="L276" s="216"/>
      <c r="M276" s="216"/>
      <c r="N276" s="216"/>
      <c r="O276" s="216"/>
    </row>
    <row r="277" spans="1:15" ht="15" hidden="1" x14ac:dyDescent="0.25">
      <c r="A277" s="216"/>
      <c r="B277" s="216"/>
      <c r="C277" s="13"/>
      <c r="D277" s="216"/>
      <c r="E277" s="216"/>
      <c r="F277" s="216"/>
      <c r="G277" s="216"/>
      <c r="H277" s="216"/>
      <c r="I277" s="216"/>
      <c r="J277" s="216"/>
      <c r="K277" s="216"/>
      <c r="L277" s="216"/>
      <c r="M277" s="216"/>
      <c r="N277" s="216"/>
      <c r="O277" s="216"/>
    </row>
    <row r="278" spans="1:15" ht="15" hidden="1" x14ac:dyDescent="0.25">
      <c r="A278" s="216"/>
      <c r="B278" s="216"/>
      <c r="C278" s="13"/>
      <c r="D278" s="216"/>
      <c r="E278" s="216"/>
      <c r="F278" s="216"/>
      <c r="G278" s="216"/>
      <c r="H278" s="216"/>
      <c r="I278" s="216"/>
      <c r="J278" s="216"/>
      <c r="K278" s="216"/>
      <c r="L278" s="216"/>
      <c r="M278" s="216"/>
      <c r="N278" s="216"/>
      <c r="O278" s="216"/>
    </row>
    <row r="279" spans="1:15" ht="15" hidden="1" x14ac:dyDescent="0.25">
      <c r="A279" s="216"/>
      <c r="B279" s="216"/>
      <c r="C279" s="13"/>
      <c r="D279" s="216"/>
      <c r="E279" s="216"/>
      <c r="F279" s="216"/>
      <c r="G279" s="216"/>
      <c r="H279" s="216"/>
      <c r="I279" s="216"/>
      <c r="J279" s="216"/>
      <c r="K279" s="216"/>
      <c r="L279" s="216"/>
      <c r="M279" s="216"/>
      <c r="N279" s="216"/>
      <c r="O279" s="216"/>
    </row>
    <row r="280" spans="1:15" hidden="1" x14ac:dyDescent="0.2">
      <c r="A280" s="216"/>
      <c r="B280" s="216"/>
      <c r="C280" s="216"/>
      <c r="D280" s="216"/>
      <c r="E280" s="216"/>
      <c r="F280" s="216"/>
      <c r="G280" s="216"/>
      <c r="H280" s="216"/>
      <c r="I280" s="216"/>
      <c r="J280" s="216"/>
      <c r="K280" s="216"/>
      <c r="L280" s="216"/>
      <c r="M280" s="216"/>
      <c r="N280" s="216"/>
      <c r="O280" s="216"/>
    </row>
    <row r="281" spans="1:15" hidden="1" x14ac:dyDescent="0.2">
      <c r="A281" s="216"/>
      <c r="B281" s="216"/>
      <c r="C281" s="216"/>
      <c r="D281" s="216"/>
      <c r="E281" s="216"/>
      <c r="F281" s="216"/>
      <c r="G281" s="216"/>
      <c r="H281" s="216"/>
      <c r="I281" s="216"/>
      <c r="J281" s="216"/>
      <c r="K281" s="216"/>
      <c r="L281" s="216"/>
      <c r="M281" s="216"/>
      <c r="N281" s="216"/>
      <c r="O281" s="216"/>
    </row>
    <row r="282" spans="1:15" hidden="1" x14ac:dyDescent="0.2">
      <c r="A282" s="216"/>
      <c r="B282" s="216"/>
      <c r="C282" s="216"/>
      <c r="D282" s="295"/>
      <c r="E282" s="216"/>
      <c r="F282" s="216"/>
      <c r="G282" s="216"/>
      <c r="H282" s="216"/>
      <c r="I282" s="216"/>
      <c r="J282" s="216"/>
      <c r="K282" s="216"/>
      <c r="L282" s="216"/>
      <c r="M282" s="216"/>
      <c r="N282" s="216"/>
      <c r="O282" s="216"/>
    </row>
    <row r="283" spans="1:15" ht="75" hidden="1" customHeight="1" x14ac:dyDescent="0.25">
      <c r="A283" s="216"/>
      <c r="B283" s="216"/>
      <c r="C283" s="409"/>
      <c r="D283" s="512"/>
      <c r="E283" s="1639"/>
      <c r="F283" s="1639"/>
      <c r="G283" s="216"/>
      <c r="H283" s="216"/>
      <c r="I283" s="216"/>
      <c r="J283" s="216"/>
      <c r="K283" s="216"/>
      <c r="L283" s="216"/>
      <c r="M283" s="216"/>
      <c r="N283" s="216"/>
      <c r="O283" s="216"/>
    </row>
    <row r="284" spans="1:15" ht="88.5" hidden="1" customHeight="1" x14ac:dyDescent="0.25">
      <c r="A284" s="216"/>
      <c r="B284" s="216"/>
      <c r="C284" s="409"/>
      <c r="D284" s="512"/>
      <c r="E284" s="1639"/>
      <c r="F284" s="1639"/>
      <c r="G284" s="216"/>
      <c r="H284" s="216"/>
      <c r="I284" s="216"/>
      <c r="J284" s="216"/>
      <c r="K284" s="216"/>
      <c r="L284" s="216"/>
      <c r="M284" s="216"/>
      <c r="N284" s="216"/>
      <c r="O284" s="216"/>
    </row>
    <row r="285" spans="1:15" ht="15" hidden="1" x14ac:dyDescent="0.2">
      <c r="A285" s="216"/>
      <c r="B285" s="216"/>
      <c r="C285" s="409"/>
      <c r="D285" s="512"/>
      <c r="E285" s="513"/>
      <c r="F285" s="513"/>
      <c r="G285" s="216"/>
      <c r="H285" s="216"/>
      <c r="I285" s="216"/>
      <c r="J285" s="216"/>
      <c r="K285" s="216"/>
      <c r="L285" s="216"/>
      <c r="M285" s="216"/>
      <c r="N285" s="216"/>
      <c r="O285" s="216"/>
    </row>
    <row r="286" spans="1:15" hidden="1" x14ac:dyDescent="0.2">
      <c r="A286" s="216"/>
      <c r="B286" s="216"/>
      <c r="C286" s="216"/>
      <c r="D286" s="216"/>
      <c r="E286" s="216"/>
      <c r="F286" s="216"/>
      <c r="G286" s="216"/>
      <c r="H286" s="216"/>
      <c r="I286" s="216"/>
      <c r="J286" s="216"/>
      <c r="K286" s="216"/>
      <c r="L286" s="216"/>
      <c r="M286" s="216"/>
      <c r="N286" s="216"/>
      <c r="O286" s="216"/>
    </row>
    <row r="287" spans="1:15" hidden="1" x14ac:dyDescent="0.2">
      <c r="A287" s="216"/>
      <c r="B287" s="216"/>
      <c r="C287" s="216"/>
      <c r="D287" s="216"/>
      <c r="E287" s="216"/>
      <c r="F287" s="216"/>
      <c r="G287" s="216"/>
      <c r="H287" s="216"/>
      <c r="I287" s="216"/>
      <c r="J287" s="216"/>
      <c r="K287" s="216"/>
      <c r="L287" s="216"/>
      <c r="M287" s="216"/>
      <c r="N287" s="216"/>
      <c r="O287" s="216"/>
    </row>
    <row r="288" spans="1:15" hidden="1" x14ac:dyDescent="0.2">
      <c r="A288" s="216"/>
      <c r="B288" s="216"/>
      <c r="C288" s="216"/>
      <c r="D288" s="216"/>
      <c r="E288" s="216"/>
      <c r="F288" s="216"/>
      <c r="G288" s="216"/>
      <c r="H288" s="216"/>
      <c r="I288" s="216"/>
      <c r="J288" s="216"/>
      <c r="K288" s="216"/>
      <c r="L288" s="216"/>
      <c r="M288" s="216"/>
      <c r="N288" s="216"/>
      <c r="O288" s="216"/>
    </row>
    <row r="289" spans="1:15" hidden="1" x14ac:dyDescent="0.2">
      <c r="A289" s="216"/>
      <c r="B289" s="216"/>
      <c r="C289" s="216"/>
      <c r="D289" s="216"/>
      <c r="E289" s="216"/>
      <c r="F289" s="216"/>
      <c r="G289" s="216"/>
      <c r="H289" s="216"/>
      <c r="I289" s="216"/>
      <c r="J289" s="216"/>
      <c r="K289" s="216"/>
      <c r="L289" s="216"/>
      <c r="M289" s="216"/>
      <c r="N289" s="216"/>
      <c r="O289" s="216"/>
    </row>
    <row r="290" spans="1:15" hidden="1" x14ac:dyDescent="0.2">
      <c r="A290" s="216"/>
      <c r="B290" s="216"/>
      <c r="C290" s="216"/>
      <c r="D290" s="216"/>
      <c r="E290" s="216"/>
      <c r="F290" s="216"/>
      <c r="G290" s="216"/>
      <c r="H290" s="216"/>
      <c r="I290" s="216"/>
      <c r="J290" s="216"/>
      <c r="K290" s="216"/>
      <c r="L290" s="216"/>
      <c r="M290" s="216"/>
      <c r="N290" s="216"/>
      <c r="O290" s="216"/>
    </row>
    <row r="291" spans="1:15" hidden="1" x14ac:dyDescent="0.2">
      <c r="A291" s="216"/>
      <c r="B291" s="371"/>
      <c r="C291" s="216"/>
      <c r="D291" s="216"/>
      <c r="E291" s="216"/>
      <c r="F291" s="216"/>
      <c r="G291" s="216"/>
      <c r="H291" s="216"/>
      <c r="I291" s="216"/>
      <c r="J291" s="216"/>
      <c r="K291" s="216"/>
      <c r="L291" s="216"/>
      <c r="M291" s="216"/>
      <c r="N291" s="216"/>
      <c r="O291" s="216"/>
    </row>
    <row r="292" spans="1:15" hidden="1" x14ac:dyDescent="0.2">
      <c r="A292" s="216"/>
      <c r="B292" s="216"/>
      <c r="C292" s="216"/>
      <c r="D292" s="216"/>
      <c r="E292" s="216"/>
      <c r="F292" s="216"/>
      <c r="G292" s="216"/>
      <c r="H292" s="216"/>
      <c r="I292" s="216"/>
      <c r="J292" s="216"/>
      <c r="K292" s="216"/>
      <c r="L292" s="216"/>
      <c r="M292" s="216"/>
      <c r="N292" s="216"/>
      <c r="O292" s="216"/>
    </row>
    <row r="293" spans="1:15" hidden="1" x14ac:dyDescent="0.2">
      <c r="A293" s="216"/>
      <c r="B293" s="216"/>
      <c r="C293" s="216"/>
      <c r="D293" s="216"/>
      <c r="E293" s="216"/>
      <c r="F293" s="216"/>
      <c r="G293" s="216"/>
      <c r="H293" s="216"/>
      <c r="I293" s="216"/>
      <c r="J293" s="216"/>
      <c r="K293" s="216"/>
      <c r="L293" s="216"/>
      <c r="M293" s="216"/>
      <c r="N293" s="216"/>
      <c r="O293" s="216"/>
    </row>
    <row r="294" spans="1:15" hidden="1" x14ac:dyDescent="0.2">
      <c r="A294" s="216"/>
      <c r="B294" s="216"/>
      <c r="C294" s="216"/>
      <c r="D294" s="216"/>
      <c r="E294" s="216"/>
      <c r="F294" s="216"/>
      <c r="G294" s="216"/>
      <c r="H294" s="216"/>
      <c r="I294" s="216"/>
      <c r="J294" s="216"/>
      <c r="K294" s="216"/>
      <c r="L294" s="216"/>
      <c r="M294" s="216"/>
      <c r="N294" s="216"/>
      <c r="O294" s="216"/>
    </row>
    <row r="295" spans="1:15" hidden="1" x14ac:dyDescent="0.2">
      <c r="A295" s="216"/>
      <c r="B295" s="216"/>
      <c r="C295" s="216"/>
      <c r="D295" s="216"/>
      <c r="E295" s="216"/>
      <c r="F295" s="216"/>
      <c r="G295" s="216"/>
      <c r="H295" s="216"/>
      <c r="I295" s="216"/>
      <c r="J295" s="216"/>
      <c r="K295" s="216"/>
      <c r="L295" s="216"/>
      <c r="M295" s="216"/>
      <c r="N295" s="216"/>
      <c r="O295" s="216"/>
    </row>
    <row r="296" spans="1:15" hidden="1" x14ac:dyDescent="0.2">
      <c r="A296" s="216"/>
      <c r="B296" s="216"/>
      <c r="C296" s="216"/>
      <c r="D296" s="216"/>
      <c r="E296" s="216"/>
      <c r="F296" s="216"/>
      <c r="G296" s="216"/>
      <c r="H296" s="216"/>
      <c r="I296" s="216"/>
      <c r="J296" s="216"/>
      <c r="K296" s="216"/>
      <c r="L296" s="216"/>
      <c r="M296" s="216"/>
      <c r="N296" s="216"/>
      <c r="O296" s="216"/>
    </row>
    <row r="297" spans="1:15" hidden="1" x14ac:dyDescent="0.2">
      <c r="A297" s="216"/>
      <c r="B297" s="216"/>
      <c r="C297" s="216"/>
      <c r="D297" s="216"/>
      <c r="E297" s="216"/>
      <c r="F297" s="216"/>
      <c r="G297" s="216"/>
      <c r="H297" s="216"/>
      <c r="I297" s="216"/>
      <c r="J297" s="216"/>
      <c r="K297" s="216"/>
      <c r="L297" s="216"/>
      <c r="M297" s="216"/>
      <c r="N297" s="216"/>
      <c r="O297" s="216"/>
    </row>
    <row r="298" spans="1:15" hidden="1" x14ac:dyDescent="0.2">
      <c r="A298" s="216"/>
      <c r="B298" s="216"/>
      <c r="C298" s="216"/>
      <c r="D298" s="216"/>
      <c r="E298" s="216"/>
      <c r="F298" s="216"/>
      <c r="G298" s="216"/>
      <c r="H298" s="216"/>
      <c r="I298" s="216"/>
      <c r="J298" s="216"/>
      <c r="K298" s="216"/>
      <c r="L298" s="216"/>
      <c r="M298" s="216"/>
      <c r="N298" s="216"/>
      <c r="O298" s="216"/>
    </row>
    <row r="299" spans="1:15" hidden="1" x14ac:dyDescent="0.2">
      <c r="A299" s="216"/>
      <c r="B299" s="216"/>
      <c r="C299" s="216"/>
      <c r="D299" s="216"/>
      <c r="E299" s="216"/>
      <c r="F299" s="216"/>
      <c r="G299" s="216"/>
      <c r="H299" s="216"/>
      <c r="I299" s="216"/>
      <c r="J299" s="216"/>
      <c r="K299" s="216"/>
      <c r="L299" s="216"/>
      <c r="M299" s="216"/>
      <c r="N299" s="216"/>
      <c r="O299" s="216"/>
    </row>
    <row r="300" spans="1:15" hidden="1" x14ac:dyDescent="0.2">
      <c r="A300" s="216"/>
      <c r="B300" s="216"/>
      <c r="C300" s="216"/>
      <c r="D300" s="216"/>
      <c r="E300" s="216"/>
      <c r="F300" s="216"/>
      <c r="G300" s="216"/>
      <c r="H300" s="216"/>
      <c r="I300" s="216"/>
      <c r="J300" s="216"/>
      <c r="K300" s="216"/>
      <c r="L300" s="216"/>
      <c r="M300" s="216"/>
      <c r="N300" s="216"/>
      <c r="O300" s="216"/>
    </row>
    <row r="301" spans="1:15" hidden="1" x14ac:dyDescent="0.2">
      <c r="A301" s="216"/>
      <c r="B301" s="216"/>
      <c r="C301" s="216"/>
      <c r="D301" s="216"/>
      <c r="E301" s="216"/>
      <c r="F301" s="216"/>
      <c r="G301" s="216"/>
      <c r="H301" s="216"/>
      <c r="I301" s="216"/>
      <c r="J301" s="216"/>
      <c r="K301" s="216"/>
      <c r="L301" s="216"/>
      <c r="M301" s="216"/>
      <c r="N301" s="216"/>
      <c r="O301" s="216"/>
    </row>
    <row r="302" spans="1:15" hidden="1" x14ac:dyDescent="0.2"/>
    <row r="303" spans="1:15" hidden="1" x14ac:dyDescent="0.2"/>
    <row r="304" spans="1:15" hidden="1" x14ac:dyDescent="0.2"/>
    <row r="305" hidden="1" x14ac:dyDescent="0.2"/>
    <row r="306" hidden="1" x14ac:dyDescent="0.2"/>
    <row r="307" hidden="1" x14ac:dyDescent="0.2"/>
    <row r="308" hidden="1" x14ac:dyDescent="0.2"/>
    <row r="309" hidden="1" x14ac:dyDescent="0.2"/>
    <row r="310" hidden="1" x14ac:dyDescent="0.2"/>
    <row r="311" hidden="1" x14ac:dyDescent="0.2"/>
    <row r="312" hidden="1" x14ac:dyDescent="0.2"/>
    <row r="313" hidden="1" x14ac:dyDescent="0.2"/>
    <row r="314" hidden="1" x14ac:dyDescent="0.2"/>
    <row r="315" hidden="1" x14ac:dyDescent="0.2"/>
    <row r="316" hidden="1" x14ac:dyDescent="0.2"/>
    <row r="317" hidden="1" x14ac:dyDescent="0.2"/>
    <row r="318" hidden="1" x14ac:dyDescent="0.2"/>
    <row r="319" hidden="1" x14ac:dyDescent="0.2"/>
    <row r="320" hidden="1" x14ac:dyDescent="0.2"/>
    <row r="321" hidden="1" x14ac:dyDescent="0.2"/>
    <row r="322" hidden="1" x14ac:dyDescent="0.2"/>
    <row r="323" hidden="1" x14ac:dyDescent="0.2"/>
    <row r="324" hidden="1" x14ac:dyDescent="0.2"/>
    <row r="325" hidden="1" x14ac:dyDescent="0.2"/>
    <row r="326" hidden="1" x14ac:dyDescent="0.2"/>
    <row r="327" hidden="1" x14ac:dyDescent="0.2"/>
    <row r="328" hidden="1" x14ac:dyDescent="0.2"/>
    <row r="329" hidden="1" x14ac:dyDescent="0.2"/>
    <row r="330" x14ac:dyDescent="0.2"/>
  </sheetData>
  <mergeCells count="115">
    <mergeCell ref="E283:F283"/>
    <mergeCell ref="E284:F284"/>
    <mergeCell ref="C3:K3"/>
    <mergeCell ref="D19:I19"/>
    <mergeCell ref="D15:I15"/>
    <mergeCell ref="D23:I23"/>
    <mergeCell ref="D30:I30"/>
    <mergeCell ref="D21:I21"/>
    <mergeCell ref="D22:I22"/>
    <mergeCell ref="D14:I14"/>
    <mergeCell ref="D16:I16"/>
    <mergeCell ref="D17:I17"/>
    <mergeCell ref="D18:I18"/>
    <mergeCell ref="D24:I24"/>
    <mergeCell ref="H93:I93"/>
    <mergeCell ref="D85:I85"/>
    <mergeCell ref="B89:N89"/>
    <mergeCell ref="H92:I92"/>
    <mergeCell ref="D25:I25"/>
    <mergeCell ref="D26:I26"/>
    <mergeCell ref="D27:I27"/>
    <mergeCell ref="D28:I28"/>
    <mergeCell ref="D29:I29"/>
    <mergeCell ref="D69:I69"/>
    <mergeCell ref="D74:I74"/>
    <mergeCell ref="B1:N1"/>
    <mergeCell ref="D80:I80"/>
    <mergeCell ref="D33:I33"/>
    <mergeCell ref="H45:I45"/>
    <mergeCell ref="D73:I73"/>
    <mergeCell ref="B41:N41"/>
    <mergeCell ref="H44:I44"/>
    <mergeCell ref="B66:N66"/>
    <mergeCell ref="D34:I34"/>
    <mergeCell ref="D35:I35"/>
    <mergeCell ref="D36:I36"/>
    <mergeCell ref="B7:N7"/>
    <mergeCell ref="L9:L13"/>
    <mergeCell ref="B48:N48"/>
    <mergeCell ref="D77:I77"/>
    <mergeCell ref="D79:I79"/>
    <mergeCell ref="D78:I78"/>
    <mergeCell ref="D76:I76"/>
    <mergeCell ref="D75:I75"/>
    <mergeCell ref="G100:H100"/>
    <mergeCell ref="I100:J100"/>
    <mergeCell ref="K100:L100"/>
    <mergeCell ref="G101:H101"/>
    <mergeCell ref="I101:J101"/>
    <mergeCell ref="K101:L101"/>
    <mergeCell ref="G99:H99"/>
    <mergeCell ref="I99:J99"/>
    <mergeCell ref="K99:L99"/>
    <mergeCell ref="D84:I84"/>
    <mergeCell ref="B96:N96"/>
    <mergeCell ref="D81:I81"/>
    <mergeCell ref="D83:I83"/>
    <mergeCell ref="D82:I82"/>
    <mergeCell ref="G104:H104"/>
    <mergeCell ref="I104:J104"/>
    <mergeCell ref="K104:L104"/>
    <mergeCell ref="G105:H105"/>
    <mergeCell ref="I105:J105"/>
    <mergeCell ref="K105:L105"/>
    <mergeCell ref="G102:H102"/>
    <mergeCell ref="I102:J102"/>
    <mergeCell ref="K102:L102"/>
    <mergeCell ref="G103:H103"/>
    <mergeCell ref="I103:J103"/>
    <mergeCell ref="K103:L103"/>
    <mergeCell ref="G108:H108"/>
    <mergeCell ref="I108:J108"/>
    <mergeCell ref="K108:L108"/>
    <mergeCell ref="G109:H109"/>
    <mergeCell ref="I109:J109"/>
    <mergeCell ref="K109:L109"/>
    <mergeCell ref="G106:H106"/>
    <mergeCell ref="I106:J106"/>
    <mergeCell ref="K106:L106"/>
    <mergeCell ref="G107:H107"/>
    <mergeCell ref="I107:J107"/>
    <mergeCell ref="K107:L107"/>
    <mergeCell ref="G52:H52"/>
    <mergeCell ref="I52:J52"/>
    <mergeCell ref="K52:L52"/>
    <mergeCell ref="G53:H53"/>
    <mergeCell ref="I53:J53"/>
    <mergeCell ref="K53:L53"/>
    <mergeCell ref="G50:H50"/>
    <mergeCell ref="I50:J50"/>
    <mergeCell ref="K50:L50"/>
    <mergeCell ref="G51:H51"/>
    <mergeCell ref="I51:J51"/>
    <mergeCell ref="K51:L51"/>
    <mergeCell ref="G56:H56"/>
    <mergeCell ref="I56:J56"/>
    <mergeCell ref="K56:L56"/>
    <mergeCell ref="G57:H57"/>
    <mergeCell ref="I57:J57"/>
    <mergeCell ref="K57:L57"/>
    <mergeCell ref="G54:H54"/>
    <mergeCell ref="I54:J54"/>
    <mergeCell ref="K54:L54"/>
    <mergeCell ref="G55:H55"/>
    <mergeCell ref="I55:J55"/>
    <mergeCell ref="K55:L55"/>
    <mergeCell ref="G60:H60"/>
    <mergeCell ref="I60:J60"/>
    <mergeCell ref="K60:L60"/>
    <mergeCell ref="G58:H58"/>
    <mergeCell ref="I58:J58"/>
    <mergeCell ref="K58:L58"/>
    <mergeCell ref="G59:H59"/>
    <mergeCell ref="I59:J59"/>
    <mergeCell ref="K59:L59"/>
  </mergeCells>
  <dataValidations count="6">
    <dataValidation type="list" allowBlank="1" showInputMessage="1" showErrorMessage="1" sqref="J75 J16 J35">
      <formula1>biomas</formula1>
    </dataValidation>
    <dataValidation type="list" allowBlank="1" showInputMessage="1" showErrorMessage="1" sqref="J76">
      <formula1>IF($J$75="Selecione",sel,IF($J$75="Amazônia",Amazônia,IF($J$75="Caatinga",Caatinga,IF($J$75="Cerrado",Cerrado,IF($J$75="Mata Atlântica",MAtlântica,IF($J$75="Pampa",Pampa,IF($J$75="Pantanal",Pantanal)))))))</formula1>
    </dataValidation>
    <dataValidation type="list" allowBlank="1" showInputMessage="1" showErrorMessage="1" sqref="J21:J29 J78:J80">
      <formula1>simnao</formula1>
    </dataValidation>
    <dataValidation type="list" allowBlank="1" showInputMessage="1" showErrorMessage="1" sqref="J18 J84">
      <formula1>usodaterra</formula1>
    </dataValidation>
    <dataValidation type="list" allowBlank="1" showInputMessage="1" showErrorMessage="1" sqref="J17">
      <formula1>IF($J$16="Selecione",sel,IF($J$16="Amazônia",Amazônia,IF($J$16="Caatinga",Caatinga,IF($J$16="Cerrado",Cerrado,IF($J$16="Mata Atlântica",MAtlântica,IF($J$16="Pampa",Pampa,IF($J$16="Pantanal",Pantanal)))))))</formula1>
    </dataValidation>
    <dataValidation type="list" allowBlank="1" showInputMessage="1" showErrorMessage="1" sqref="J36">
      <formula1>IF($J$35="Selecione",sel,IF($J$35="Amazônia",Amazônia,IF($J$35="Caatinga",Caatinga,IF($J$35="Cerrado",Cerrado,IF($J$35="Mata Atlântica",MAtlântica,IF($J$35="Pampa",Pampa,IF($J$35="Pantanal",Pantanal)))))))</formula1>
    </dataValidation>
  </dataValidations>
  <hyperlinks>
    <hyperlink ref="L71" r:id="rId1"/>
  </hyperlinks>
  <pageMargins left="0.78740157499999996" right="0.78740157499999996" top="0.984251969" bottom="0.984251969" header="0.5" footer="0.5"/>
  <pageSetup paperSize="9" orientation="portrait" r:id="rId2"/>
  <headerFooter alignWithMargins="0"/>
  <drawing r:id="rId3"/>
  <legacyDrawing r:id="rId4"/>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enableFormatConditionsCalculation="0">
    <tabColor rgb="FF6F6F6E"/>
  </sheetPr>
  <dimension ref="A1:L208"/>
  <sheetViews>
    <sheetView showGridLines="0" topLeftCell="B1" zoomScaleNormal="100" zoomScalePageLayoutView="85" workbookViewId="0">
      <selection activeCell="B2" sqref="B2"/>
    </sheetView>
  </sheetViews>
  <sheetFormatPr defaultColWidth="8.85546875" defaultRowHeight="15" outlineLevelRow="2" x14ac:dyDescent="0.25"/>
  <cols>
    <col min="1" max="1" width="3.28515625" style="12" hidden="1" customWidth="1"/>
    <col min="2" max="2" width="48.85546875" style="12" customWidth="1"/>
    <col min="3" max="3" width="13.7109375" style="857" customWidth="1"/>
    <col min="4" max="4" width="23" style="857" bestFit="1" customWidth="1"/>
    <col min="5" max="5" width="15" style="857" customWidth="1"/>
    <col min="6" max="6" width="48.7109375" style="12" bestFit="1" customWidth="1"/>
    <col min="7" max="7" width="11.28515625" style="12" customWidth="1"/>
    <col min="8" max="8" width="11.28515625" style="12" bestFit="1" customWidth="1"/>
    <col min="9" max="10" width="8.85546875" style="12"/>
    <col min="11" max="11" width="3.42578125" style="12" customWidth="1"/>
    <col min="12" max="12" width="20.140625" style="12" bestFit="1" customWidth="1"/>
    <col min="13" max="16384" width="8.85546875" style="12"/>
  </cols>
  <sheetData>
    <row r="1" spans="2:12" x14ac:dyDescent="0.25">
      <c r="B1" s="1732" t="s">
        <v>1283</v>
      </c>
      <c r="C1" s="1732"/>
      <c r="D1" s="1732"/>
      <c r="E1" s="1732"/>
      <c r="F1" s="1732"/>
      <c r="G1" s="1732"/>
      <c r="H1" s="1732"/>
      <c r="I1" s="1732"/>
      <c r="J1" s="1732"/>
      <c r="K1" s="1732"/>
      <c r="L1" s="1732"/>
    </row>
    <row r="3" spans="2:12" x14ac:dyDescent="0.25">
      <c r="B3" s="858" t="s">
        <v>1395</v>
      </c>
      <c r="C3" s="859"/>
      <c r="D3" s="859"/>
      <c r="E3" s="859"/>
      <c r="F3" s="821"/>
      <c r="G3" s="860"/>
      <c r="I3" s="12" t="s">
        <v>673</v>
      </c>
      <c r="K3" s="13"/>
    </row>
    <row r="4" spans="2:12" x14ac:dyDescent="0.25">
      <c r="B4" s="861" t="s">
        <v>667</v>
      </c>
      <c r="C4" s="862"/>
      <c r="D4" s="862"/>
      <c r="E4" s="862"/>
      <c r="F4" s="13"/>
      <c r="G4" s="863"/>
      <c r="I4" s="858" t="s">
        <v>674</v>
      </c>
      <c r="J4" s="860"/>
      <c r="K4" s="13"/>
    </row>
    <row r="5" spans="2:12" x14ac:dyDescent="0.25">
      <c r="B5" s="864" t="s">
        <v>668</v>
      </c>
      <c r="C5" s="865"/>
      <c r="D5" s="865"/>
      <c r="E5" s="865"/>
      <c r="F5" s="387"/>
      <c r="G5" s="866"/>
      <c r="I5" s="861" t="s">
        <v>12</v>
      </c>
      <c r="J5" s="863"/>
      <c r="K5" s="867"/>
    </row>
    <row r="6" spans="2:12" x14ac:dyDescent="0.25">
      <c r="I6" s="861" t="s">
        <v>675</v>
      </c>
      <c r="J6" s="868">
        <v>0.55000000000000004</v>
      </c>
      <c r="K6" s="867"/>
    </row>
    <row r="7" spans="2:12" x14ac:dyDescent="0.25">
      <c r="B7" s="869" t="s">
        <v>676</v>
      </c>
      <c r="C7" s="870" t="s">
        <v>677</v>
      </c>
      <c r="D7" s="871" t="s">
        <v>12</v>
      </c>
      <c r="E7" s="872"/>
      <c r="I7" s="861" t="s">
        <v>678</v>
      </c>
      <c r="J7" s="868">
        <v>0.25</v>
      </c>
      <c r="K7" s="867"/>
    </row>
    <row r="8" spans="2:12" x14ac:dyDescent="0.25">
      <c r="B8" s="873" t="s">
        <v>12</v>
      </c>
      <c r="C8" s="874" t="s">
        <v>679</v>
      </c>
      <c r="D8" s="875" t="s">
        <v>680</v>
      </c>
      <c r="E8" s="865"/>
      <c r="F8" s="876" t="s">
        <v>12</v>
      </c>
      <c r="I8" s="864" t="s">
        <v>681</v>
      </c>
      <c r="J8" s="877">
        <v>0</v>
      </c>
      <c r="L8" s="13"/>
    </row>
    <row r="9" spans="2:12" x14ac:dyDescent="0.25">
      <c r="B9" s="900" t="s">
        <v>620</v>
      </c>
      <c r="C9" s="901"/>
      <c r="D9" s="901"/>
      <c r="E9" s="901"/>
      <c r="F9" s="878" t="s">
        <v>602</v>
      </c>
      <c r="I9" s="385" t="s">
        <v>682</v>
      </c>
    </row>
    <row r="10" spans="2:12" x14ac:dyDescent="0.25">
      <c r="B10" s="900" t="s">
        <v>651</v>
      </c>
      <c r="C10" s="901"/>
      <c r="D10" s="871" t="s">
        <v>12</v>
      </c>
      <c r="E10" s="879"/>
      <c r="F10" s="880" t="s">
        <v>618</v>
      </c>
    </row>
    <row r="11" spans="2:12" x14ac:dyDescent="0.25">
      <c r="B11" s="900" t="s">
        <v>655</v>
      </c>
      <c r="C11" s="901"/>
      <c r="D11" s="881" t="s">
        <v>683</v>
      </c>
      <c r="E11" s="868">
        <v>0.5</v>
      </c>
      <c r="I11" s="12" t="s">
        <v>684</v>
      </c>
    </row>
    <row r="12" spans="2:12" x14ac:dyDescent="0.25">
      <c r="B12" s="900" t="s">
        <v>659</v>
      </c>
      <c r="C12" s="901"/>
      <c r="D12" s="881" t="s">
        <v>685</v>
      </c>
      <c r="E12" s="868">
        <v>0.05</v>
      </c>
      <c r="F12" s="13"/>
      <c r="G12" s="13"/>
      <c r="H12" s="13"/>
      <c r="I12" s="13" t="s">
        <v>686</v>
      </c>
      <c r="J12" s="13">
        <f>44/12</f>
        <v>3.6666666666666665</v>
      </c>
      <c r="K12" s="13"/>
      <c r="L12" s="13"/>
    </row>
    <row r="13" spans="2:12" x14ac:dyDescent="0.25">
      <c r="B13" s="902" t="s">
        <v>665</v>
      </c>
      <c r="C13" s="903"/>
      <c r="D13" s="904" t="s">
        <v>687</v>
      </c>
      <c r="E13" s="877">
        <v>0.5</v>
      </c>
      <c r="J13" s="13"/>
      <c r="K13" s="13"/>
      <c r="L13" s="13"/>
    </row>
    <row r="14" spans="2:12" x14ac:dyDescent="0.25">
      <c r="B14" s="882" t="s">
        <v>666</v>
      </c>
      <c r="C14" s="901"/>
      <c r="D14" s="901"/>
      <c r="E14" s="901"/>
      <c r="I14" s="13"/>
    </row>
    <row r="15" spans="2:12" x14ac:dyDescent="0.25">
      <c r="B15" s="13"/>
      <c r="C15" s="901"/>
      <c r="D15" s="901"/>
      <c r="E15" s="901"/>
      <c r="I15" s="13"/>
    </row>
    <row r="16" spans="2:12" ht="105" x14ac:dyDescent="0.25">
      <c r="B16" s="905" t="s">
        <v>688</v>
      </c>
      <c r="C16" s="883"/>
      <c r="D16" s="883"/>
      <c r="E16" s="884">
        <f>(0.65)</f>
        <v>0.65</v>
      </c>
      <c r="F16" s="885" t="s">
        <v>689</v>
      </c>
    </row>
    <row r="17" spans="2:6" x14ac:dyDescent="0.25">
      <c r="B17" s="906"/>
      <c r="C17" s="862"/>
      <c r="D17" s="862"/>
      <c r="E17" s="886"/>
      <c r="F17" s="887"/>
    </row>
    <row r="18" spans="2:6" x14ac:dyDescent="0.25">
      <c r="B18" s="888" t="s">
        <v>690</v>
      </c>
      <c r="C18" s="889"/>
      <c r="D18" s="889"/>
      <c r="E18" s="889"/>
      <c r="F18" s="890"/>
    </row>
    <row r="19" spans="2:6" x14ac:dyDescent="0.25">
      <c r="B19" s="891"/>
      <c r="C19" s="413" t="s">
        <v>691</v>
      </c>
      <c r="D19" s="413" t="s">
        <v>692</v>
      </c>
      <c r="E19" s="34"/>
      <c r="F19" s="892"/>
    </row>
    <row r="20" spans="2:6" x14ac:dyDescent="0.25">
      <c r="B20" s="893" t="s">
        <v>12</v>
      </c>
      <c r="C20" s="409"/>
      <c r="D20" s="13"/>
      <c r="E20" s="886"/>
      <c r="F20" s="863"/>
    </row>
    <row r="21" spans="2:6" ht="60" customHeight="1" x14ac:dyDescent="0.25">
      <c r="B21" s="893" t="s">
        <v>669</v>
      </c>
      <c r="C21" s="409">
        <v>8.0500000000000007</v>
      </c>
      <c r="D21" s="1073">
        <f>C21*$J$12</f>
        <v>29.516666666666669</v>
      </c>
      <c r="E21" s="1741" t="s">
        <v>670</v>
      </c>
      <c r="F21" s="1742"/>
    </row>
    <row r="22" spans="2:6" ht="75" customHeight="1" x14ac:dyDescent="0.25">
      <c r="B22" s="893" t="s">
        <v>671</v>
      </c>
      <c r="C22" s="894">
        <v>5</v>
      </c>
      <c r="D22" s="512">
        <f>C22*$J$12</f>
        <v>18.333333333333332</v>
      </c>
      <c r="E22" s="1743" t="s">
        <v>1549</v>
      </c>
      <c r="F22" s="1744"/>
    </row>
    <row r="23" spans="2:6" x14ac:dyDescent="0.25">
      <c r="B23" s="895" t="s">
        <v>672</v>
      </c>
      <c r="C23" s="896">
        <v>21</v>
      </c>
      <c r="D23" s="897">
        <f>C23*$J$12</f>
        <v>77</v>
      </c>
      <c r="E23" s="1745"/>
      <c r="F23" s="1746"/>
    </row>
    <row r="24" spans="2:6" x14ac:dyDescent="0.25">
      <c r="B24" s="907"/>
      <c r="C24" s="862"/>
      <c r="D24" s="862"/>
      <c r="E24" s="898"/>
      <c r="F24" s="887"/>
    </row>
    <row r="25" spans="2:6" x14ac:dyDescent="0.25">
      <c r="B25" s="908" t="s">
        <v>620</v>
      </c>
      <c r="C25" s="909" t="s">
        <v>693</v>
      </c>
      <c r="D25" s="899" t="s">
        <v>694</v>
      </c>
    </row>
    <row r="26" spans="2:6" hidden="1" x14ac:dyDescent="0.25">
      <c r="B26" s="910" t="s">
        <v>12</v>
      </c>
      <c r="C26" s="903"/>
      <c r="D26" s="903"/>
    </row>
    <row r="27" spans="2:6" outlineLevel="1" x14ac:dyDescent="0.25">
      <c r="B27" s="15" t="s">
        <v>621</v>
      </c>
      <c r="C27" s="911">
        <v>147.85500000000002</v>
      </c>
      <c r="D27" s="911">
        <f t="shared" ref="D27:D56" si="0">(C27*(1-$E$16)*$J$12)</f>
        <v>189.74725000000001</v>
      </c>
    </row>
    <row r="28" spans="2:6" outlineLevel="1" x14ac:dyDescent="0.25">
      <c r="B28" s="15" t="s">
        <v>622</v>
      </c>
      <c r="C28" s="911">
        <v>154.55000000000001</v>
      </c>
      <c r="D28" s="911">
        <f t="shared" si="0"/>
        <v>198.33916666666667</v>
      </c>
    </row>
    <row r="29" spans="2:6" outlineLevel="1" x14ac:dyDescent="0.25">
      <c r="B29" s="15" t="s">
        <v>623</v>
      </c>
      <c r="C29" s="911">
        <v>134.85500000000002</v>
      </c>
      <c r="D29" s="911">
        <f t="shared" si="0"/>
        <v>173.06391666666667</v>
      </c>
    </row>
    <row r="30" spans="2:6" outlineLevel="1" x14ac:dyDescent="0.25">
      <c r="B30" s="15" t="s">
        <v>624</v>
      </c>
      <c r="C30" s="911">
        <v>116.27</v>
      </c>
      <c r="D30" s="911">
        <f t="shared" si="0"/>
        <v>149.21316666666667</v>
      </c>
    </row>
    <row r="31" spans="2:6" outlineLevel="1" x14ac:dyDescent="0.25">
      <c r="B31" s="15" t="s">
        <v>625</v>
      </c>
      <c r="C31" s="911">
        <v>116.27</v>
      </c>
      <c r="D31" s="911">
        <f t="shared" si="0"/>
        <v>149.21316666666667</v>
      </c>
    </row>
    <row r="32" spans="2:6" outlineLevel="1" x14ac:dyDescent="0.25">
      <c r="B32" s="15" t="s">
        <v>626</v>
      </c>
      <c r="C32" s="911">
        <v>171.16500000000002</v>
      </c>
      <c r="D32" s="911">
        <f t="shared" si="0"/>
        <v>219.66174999999998</v>
      </c>
    </row>
    <row r="33" spans="2:4" outlineLevel="1" x14ac:dyDescent="0.25">
      <c r="B33" s="15" t="s">
        <v>627</v>
      </c>
      <c r="C33" s="911">
        <v>161.76</v>
      </c>
      <c r="D33" s="911">
        <f t="shared" si="0"/>
        <v>207.59199999999996</v>
      </c>
    </row>
    <row r="34" spans="2:4" outlineLevel="1" x14ac:dyDescent="0.25">
      <c r="B34" s="15" t="s">
        <v>628</v>
      </c>
      <c r="C34" s="911">
        <v>139.03</v>
      </c>
      <c r="D34" s="911">
        <f t="shared" si="0"/>
        <v>178.42183333333332</v>
      </c>
    </row>
    <row r="35" spans="2:4" outlineLevel="1" x14ac:dyDescent="0.25">
      <c r="B35" s="15" t="s">
        <v>629</v>
      </c>
      <c r="C35" s="911">
        <v>155.09</v>
      </c>
      <c r="D35" s="911">
        <f t="shared" si="0"/>
        <v>199.03216666666665</v>
      </c>
    </row>
    <row r="36" spans="2:4" outlineLevel="1" x14ac:dyDescent="0.25">
      <c r="B36" s="15" t="s">
        <v>630</v>
      </c>
      <c r="C36" s="911">
        <v>140.09</v>
      </c>
      <c r="D36" s="911">
        <f t="shared" si="0"/>
        <v>179.78216666666665</v>
      </c>
    </row>
    <row r="37" spans="2:4" outlineLevel="1" x14ac:dyDescent="0.25">
      <c r="B37" s="15" t="s">
        <v>631</v>
      </c>
      <c r="C37" s="911">
        <v>140.09</v>
      </c>
      <c r="D37" s="911">
        <f t="shared" si="0"/>
        <v>179.78216666666665</v>
      </c>
    </row>
    <row r="38" spans="2:4" outlineLevel="1" x14ac:dyDescent="0.25">
      <c r="B38" s="15" t="s">
        <v>632</v>
      </c>
      <c r="C38" s="911">
        <v>140.09</v>
      </c>
      <c r="D38" s="911">
        <f t="shared" si="0"/>
        <v>179.78216666666665</v>
      </c>
    </row>
    <row r="39" spans="2:4" outlineLevel="1" x14ac:dyDescent="0.25">
      <c r="B39" s="15" t="s">
        <v>633</v>
      </c>
      <c r="C39" s="911">
        <v>140.09</v>
      </c>
      <c r="D39" s="911">
        <f t="shared" si="0"/>
        <v>179.78216666666665</v>
      </c>
    </row>
    <row r="40" spans="2:4" outlineLevel="1" x14ac:dyDescent="0.25">
      <c r="B40" s="15" t="s">
        <v>634</v>
      </c>
      <c r="C40" s="911">
        <v>183</v>
      </c>
      <c r="D40" s="911">
        <f t="shared" si="0"/>
        <v>234.84999999999997</v>
      </c>
    </row>
    <row r="41" spans="2:4" outlineLevel="1" x14ac:dyDescent="0.25">
      <c r="B41" s="15" t="s">
        <v>635</v>
      </c>
      <c r="C41" s="911">
        <v>25.31</v>
      </c>
      <c r="D41" s="911">
        <f t="shared" si="0"/>
        <v>32.48116666666666</v>
      </c>
    </row>
    <row r="42" spans="2:4" outlineLevel="1" x14ac:dyDescent="0.25">
      <c r="B42" s="15" t="s">
        <v>636</v>
      </c>
      <c r="C42" s="911">
        <v>25.31</v>
      </c>
      <c r="D42" s="911">
        <f t="shared" si="0"/>
        <v>32.48116666666666</v>
      </c>
    </row>
    <row r="43" spans="2:4" outlineLevel="1" x14ac:dyDescent="0.25">
      <c r="B43" s="15" t="s">
        <v>637</v>
      </c>
      <c r="C43" s="912">
        <v>183</v>
      </c>
      <c r="D43" s="911">
        <f t="shared" si="0"/>
        <v>234.84999999999997</v>
      </c>
    </row>
    <row r="44" spans="2:4" outlineLevel="1" x14ac:dyDescent="0.25">
      <c r="B44" s="15" t="s">
        <v>638</v>
      </c>
      <c r="C44" s="911">
        <v>105.64</v>
      </c>
      <c r="D44" s="911">
        <f t="shared" si="0"/>
        <v>135.57133333333331</v>
      </c>
    </row>
    <row r="45" spans="2:4" outlineLevel="1" x14ac:dyDescent="0.25">
      <c r="B45" s="15" t="s">
        <v>639</v>
      </c>
      <c r="C45" s="911">
        <v>98.16</v>
      </c>
      <c r="D45" s="911">
        <f t="shared" si="0"/>
        <v>125.97199999999998</v>
      </c>
    </row>
    <row r="46" spans="2:4" outlineLevel="1" x14ac:dyDescent="0.25">
      <c r="B46" s="15" t="s">
        <v>640</v>
      </c>
      <c r="C46" s="911">
        <v>94.48</v>
      </c>
      <c r="D46" s="911">
        <f t="shared" si="0"/>
        <v>121.24933333333333</v>
      </c>
    </row>
    <row r="47" spans="2:4" outlineLevel="1" x14ac:dyDescent="0.25">
      <c r="B47" s="15" t="s">
        <v>641</v>
      </c>
      <c r="C47" s="911">
        <v>6.55</v>
      </c>
      <c r="D47" s="911">
        <f t="shared" si="0"/>
        <v>8.4058333333333337</v>
      </c>
    </row>
    <row r="48" spans="2:4" outlineLevel="1" x14ac:dyDescent="0.25">
      <c r="B48" s="15" t="s">
        <v>642</v>
      </c>
      <c r="C48" s="911">
        <v>6.55</v>
      </c>
      <c r="D48" s="911">
        <f t="shared" si="0"/>
        <v>8.4058333333333337</v>
      </c>
    </row>
    <row r="49" spans="2:4" outlineLevel="1" x14ac:dyDescent="0.25">
      <c r="B49" s="15" t="s">
        <v>643</v>
      </c>
      <c r="C49" s="911">
        <v>47.1</v>
      </c>
      <c r="D49" s="911">
        <f t="shared" si="0"/>
        <v>60.444999999999993</v>
      </c>
    </row>
    <row r="50" spans="2:4" outlineLevel="1" x14ac:dyDescent="0.25">
      <c r="B50" s="15" t="s">
        <v>644</v>
      </c>
      <c r="C50" s="911">
        <v>77.8</v>
      </c>
      <c r="D50" s="911">
        <f t="shared" si="0"/>
        <v>99.84333333333332</v>
      </c>
    </row>
    <row r="51" spans="2:4" outlineLevel="1" x14ac:dyDescent="0.25">
      <c r="B51" s="15" t="s">
        <v>645</v>
      </c>
      <c r="C51" s="911">
        <v>16.3</v>
      </c>
      <c r="D51" s="911">
        <f t="shared" si="0"/>
        <v>20.918333333333333</v>
      </c>
    </row>
    <row r="52" spans="2:4" outlineLevel="1" x14ac:dyDescent="0.25">
      <c r="B52" s="15" t="s">
        <v>646</v>
      </c>
      <c r="C52" s="911">
        <v>24.1</v>
      </c>
      <c r="D52" s="911">
        <f t="shared" si="0"/>
        <v>30.928333333333335</v>
      </c>
    </row>
    <row r="53" spans="2:4" outlineLevel="1" x14ac:dyDescent="0.25">
      <c r="B53" s="15" t="s">
        <v>647</v>
      </c>
      <c r="C53" s="911">
        <v>14.41</v>
      </c>
      <c r="D53" s="911">
        <f t="shared" si="0"/>
        <v>18.492833333333333</v>
      </c>
    </row>
    <row r="54" spans="2:4" outlineLevel="1" x14ac:dyDescent="0.25">
      <c r="B54" s="15" t="s">
        <v>648</v>
      </c>
      <c r="C54" s="911">
        <v>30.1</v>
      </c>
      <c r="D54" s="911">
        <f t="shared" si="0"/>
        <v>38.62833333333333</v>
      </c>
    </row>
    <row r="55" spans="2:4" outlineLevel="1" x14ac:dyDescent="0.25">
      <c r="B55" s="15" t="s">
        <v>649</v>
      </c>
      <c r="C55" s="911">
        <v>3.99</v>
      </c>
      <c r="D55" s="911">
        <f t="shared" si="0"/>
        <v>5.1204999999999998</v>
      </c>
    </row>
    <row r="56" spans="2:4" outlineLevel="1" x14ac:dyDescent="0.25">
      <c r="B56" s="15" t="s">
        <v>650</v>
      </c>
      <c r="C56" s="911">
        <v>8.9700000000000006</v>
      </c>
      <c r="D56" s="911">
        <f t="shared" si="0"/>
        <v>11.5115</v>
      </c>
    </row>
    <row r="57" spans="2:4" outlineLevel="1" x14ac:dyDescent="0.25"/>
    <row r="58" spans="2:4" x14ac:dyDescent="0.25">
      <c r="B58" s="908" t="s">
        <v>651</v>
      </c>
      <c r="C58" s="908" t="str">
        <f>$C$25</f>
        <v>tC/ha</v>
      </c>
      <c r="D58" s="908" t="s">
        <v>695</v>
      </c>
    </row>
    <row r="59" spans="2:4" outlineLevel="1" x14ac:dyDescent="0.25">
      <c r="B59" s="15" t="s">
        <v>12</v>
      </c>
    </row>
    <row r="60" spans="2:4" outlineLevel="1" x14ac:dyDescent="0.25">
      <c r="B60" s="15" t="s">
        <v>622</v>
      </c>
      <c r="C60" s="911">
        <v>166.93</v>
      </c>
      <c r="D60" s="911">
        <f t="shared" ref="D60:D82" si="1">(C60*(1-$E$16)*$J$12)</f>
        <v>214.22683333333333</v>
      </c>
    </row>
    <row r="61" spans="2:4" outlineLevel="1" x14ac:dyDescent="0.25">
      <c r="B61" s="15" t="s">
        <v>652</v>
      </c>
      <c r="C61" s="911">
        <v>166.93</v>
      </c>
      <c r="D61" s="911">
        <f t="shared" si="1"/>
        <v>214.22683333333333</v>
      </c>
    </row>
    <row r="62" spans="2:4" outlineLevel="1" x14ac:dyDescent="0.25">
      <c r="B62" s="15" t="s">
        <v>623</v>
      </c>
      <c r="C62" s="911">
        <v>166.93</v>
      </c>
      <c r="D62" s="911">
        <f t="shared" si="1"/>
        <v>214.22683333333333</v>
      </c>
    </row>
    <row r="63" spans="2:4" outlineLevel="1" x14ac:dyDescent="0.25">
      <c r="B63" s="15" t="s">
        <v>624</v>
      </c>
      <c r="C63" s="911">
        <v>116.27</v>
      </c>
      <c r="D63" s="911">
        <f t="shared" si="1"/>
        <v>149.21316666666667</v>
      </c>
    </row>
    <row r="64" spans="2:4" outlineLevel="1" x14ac:dyDescent="0.25">
      <c r="B64" s="15" t="s">
        <v>653</v>
      </c>
      <c r="C64" s="911">
        <v>104.95</v>
      </c>
      <c r="D64" s="911">
        <f t="shared" si="1"/>
        <v>134.68583333333333</v>
      </c>
    </row>
    <row r="65" spans="2:4" outlineLevel="1" x14ac:dyDescent="0.25">
      <c r="B65" s="15" t="s">
        <v>625</v>
      </c>
      <c r="C65" s="911">
        <v>116.27</v>
      </c>
      <c r="D65" s="911">
        <f t="shared" si="1"/>
        <v>149.21316666666667</v>
      </c>
    </row>
    <row r="66" spans="2:4" outlineLevel="1" x14ac:dyDescent="0.25">
      <c r="B66" s="15" t="s">
        <v>629</v>
      </c>
      <c r="C66" s="911">
        <v>122.92</v>
      </c>
      <c r="D66" s="911">
        <f t="shared" si="1"/>
        <v>157.74733333333333</v>
      </c>
    </row>
    <row r="67" spans="2:4" outlineLevel="1" x14ac:dyDescent="0.25">
      <c r="B67" s="15" t="s">
        <v>630</v>
      </c>
      <c r="C67" s="911">
        <v>140.09</v>
      </c>
      <c r="D67" s="911">
        <f t="shared" si="1"/>
        <v>179.78216666666665</v>
      </c>
    </row>
    <row r="68" spans="2:4" outlineLevel="1" x14ac:dyDescent="0.25">
      <c r="B68" s="15" t="s">
        <v>631</v>
      </c>
      <c r="C68" s="911">
        <v>140.09</v>
      </c>
      <c r="D68" s="911">
        <f t="shared" si="1"/>
        <v>179.78216666666665</v>
      </c>
    </row>
    <row r="69" spans="2:4" outlineLevel="1" x14ac:dyDescent="0.25">
      <c r="B69" s="15" t="s">
        <v>632</v>
      </c>
      <c r="C69" s="911">
        <v>140.09</v>
      </c>
      <c r="D69" s="911">
        <f t="shared" si="1"/>
        <v>179.78216666666665</v>
      </c>
    </row>
    <row r="70" spans="2:4" outlineLevel="1" x14ac:dyDescent="0.25">
      <c r="B70" s="15" t="s">
        <v>633</v>
      </c>
      <c r="C70" s="911">
        <v>140.09</v>
      </c>
      <c r="D70" s="911">
        <f t="shared" si="1"/>
        <v>179.78216666666665</v>
      </c>
    </row>
    <row r="71" spans="2:4" outlineLevel="1" x14ac:dyDescent="0.25">
      <c r="B71" s="15" t="s">
        <v>638</v>
      </c>
      <c r="C71" s="911">
        <v>105.64</v>
      </c>
      <c r="D71" s="911">
        <f t="shared" si="1"/>
        <v>135.57133333333331</v>
      </c>
    </row>
    <row r="72" spans="2:4" outlineLevel="1" x14ac:dyDescent="0.25">
      <c r="B72" s="15" t="s">
        <v>639</v>
      </c>
      <c r="C72" s="911">
        <v>98.16</v>
      </c>
      <c r="D72" s="911">
        <f t="shared" si="1"/>
        <v>125.97199999999998</v>
      </c>
    </row>
    <row r="73" spans="2:4" outlineLevel="1" x14ac:dyDescent="0.25">
      <c r="B73" s="15" t="s">
        <v>640</v>
      </c>
      <c r="C73" s="911">
        <v>94.48</v>
      </c>
      <c r="D73" s="911">
        <f t="shared" si="1"/>
        <v>121.24933333333333</v>
      </c>
    </row>
    <row r="74" spans="2:4" outlineLevel="1" x14ac:dyDescent="0.25">
      <c r="B74" s="15" t="s">
        <v>654</v>
      </c>
      <c r="C74" s="911">
        <v>6.55</v>
      </c>
      <c r="D74" s="911">
        <f t="shared" si="1"/>
        <v>8.4058333333333337</v>
      </c>
    </row>
    <row r="75" spans="2:4" outlineLevel="1" x14ac:dyDescent="0.25">
      <c r="B75" s="15" t="s">
        <v>641</v>
      </c>
      <c r="C75" s="911">
        <v>6.55</v>
      </c>
      <c r="D75" s="911">
        <f t="shared" si="1"/>
        <v>8.4058333333333337</v>
      </c>
    </row>
    <row r="76" spans="2:4" outlineLevel="1" x14ac:dyDescent="0.25">
      <c r="B76" s="15" t="s">
        <v>644</v>
      </c>
      <c r="C76" s="911">
        <v>77.8</v>
      </c>
      <c r="D76" s="911">
        <f t="shared" si="1"/>
        <v>99.84333333333332</v>
      </c>
    </row>
    <row r="77" spans="2:4" outlineLevel="1" x14ac:dyDescent="0.25">
      <c r="B77" s="15" t="s">
        <v>645</v>
      </c>
      <c r="C77" s="911">
        <v>16.3</v>
      </c>
      <c r="D77" s="911">
        <f t="shared" si="1"/>
        <v>20.918333333333333</v>
      </c>
    </row>
    <row r="78" spans="2:4" outlineLevel="1" x14ac:dyDescent="0.25">
      <c r="B78" s="15" t="s">
        <v>646</v>
      </c>
      <c r="C78" s="911">
        <v>24.1</v>
      </c>
      <c r="D78" s="911">
        <f t="shared" si="1"/>
        <v>30.928333333333335</v>
      </c>
    </row>
    <row r="79" spans="2:4" outlineLevel="1" x14ac:dyDescent="0.25">
      <c r="B79" s="15" t="s">
        <v>647</v>
      </c>
      <c r="C79" s="911">
        <v>14.9</v>
      </c>
      <c r="D79" s="911">
        <f t="shared" si="1"/>
        <v>19.121666666666666</v>
      </c>
    </row>
    <row r="80" spans="2:4" outlineLevel="1" x14ac:dyDescent="0.25">
      <c r="B80" s="15" t="s">
        <v>648</v>
      </c>
      <c r="C80" s="911">
        <v>38</v>
      </c>
      <c r="D80" s="911">
        <f t="shared" si="1"/>
        <v>48.766666666666659</v>
      </c>
    </row>
    <row r="81" spans="2:6" outlineLevel="1" x14ac:dyDescent="0.25">
      <c r="B81" s="15" t="s">
        <v>649</v>
      </c>
      <c r="C81" s="911">
        <v>14.9</v>
      </c>
      <c r="D81" s="911">
        <f t="shared" si="1"/>
        <v>19.121666666666666</v>
      </c>
    </row>
    <row r="82" spans="2:6" outlineLevel="1" x14ac:dyDescent="0.25">
      <c r="B82" s="15" t="s">
        <v>650</v>
      </c>
      <c r="C82" s="911">
        <v>14.9</v>
      </c>
      <c r="D82" s="911">
        <f t="shared" si="1"/>
        <v>19.121666666666666</v>
      </c>
    </row>
    <row r="83" spans="2:6" outlineLevel="1" x14ac:dyDescent="0.25"/>
    <row r="84" spans="2:6" x14ac:dyDescent="0.25">
      <c r="B84" s="908" t="s">
        <v>655</v>
      </c>
      <c r="C84" s="908" t="str">
        <f>$C$25</f>
        <v>tC/ha</v>
      </c>
      <c r="D84" s="908" t="s">
        <v>695</v>
      </c>
    </row>
    <row r="85" spans="2:6" outlineLevel="2" x14ac:dyDescent="0.25">
      <c r="B85" s="15" t="s">
        <v>12</v>
      </c>
    </row>
    <row r="86" spans="2:6" outlineLevel="2" x14ac:dyDescent="0.25">
      <c r="B86" s="15" t="s">
        <v>621</v>
      </c>
      <c r="C86" s="911">
        <v>134.74</v>
      </c>
      <c r="D86" s="911">
        <f t="shared" ref="D86:D113" si="2">(C86*(1-$E$16)*$J$12)</f>
        <v>172.91633333333331</v>
      </c>
      <c r="F86" s="857"/>
    </row>
    <row r="87" spans="2:6" outlineLevel="2" x14ac:dyDescent="0.25">
      <c r="B87" s="15" t="s">
        <v>622</v>
      </c>
      <c r="C87" s="911">
        <v>149.6</v>
      </c>
      <c r="D87" s="911">
        <f t="shared" si="2"/>
        <v>191.98666666666662</v>
      </c>
    </row>
    <row r="88" spans="2:6" outlineLevel="2" x14ac:dyDescent="0.25">
      <c r="B88" s="15" t="s">
        <v>623</v>
      </c>
      <c r="C88" s="911">
        <v>123.05</v>
      </c>
      <c r="D88" s="911">
        <f t="shared" si="2"/>
        <v>157.91416666666663</v>
      </c>
    </row>
    <row r="89" spans="2:6" outlineLevel="2" x14ac:dyDescent="0.25">
      <c r="B89" s="15" t="s">
        <v>624</v>
      </c>
      <c r="C89" s="911">
        <v>116.27</v>
      </c>
      <c r="D89" s="911">
        <f t="shared" si="2"/>
        <v>149.21316666666667</v>
      </c>
    </row>
    <row r="90" spans="2:6" outlineLevel="2" x14ac:dyDescent="0.25">
      <c r="B90" s="15" t="s">
        <v>653</v>
      </c>
      <c r="C90" s="911">
        <v>104.95</v>
      </c>
      <c r="D90" s="911">
        <f t="shared" si="2"/>
        <v>134.68583333333333</v>
      </c>
    </row>
    <row r="91" spans="2:6" outlineLevel="2" x14ac:dyDescent="0.25">
      <c r="B91" s="15" t="s">
        <v>625</v>
      </c>
      <c r="C91" s="911">
        <v>116.27</v>
      </c>
      <c r="D91" s="911">
        <f t="shared" si="2"/>
        <v>149.21316666666667</v>
      </c>
    </row>
    <row r="92" spans="2:6" outlineLevel="2" x14ac:dyDescent="0.25">
      <c r="B92" s="15" t="s">
        <v>626</v>
      </c>
      <c r="C92" s="911">
        <v>158.97</v>
      </c>
      <c r="D92" s="911">
        <f t="shared" si="2"/>
        <v>204.01149999999998</v>
      </c>
    </row>
    <row r="93" spans="2:6" outlineLevel="2" x14ac:dyDescent="0.25">
      <c r="B93" s="15" t="s">
        <v>628</v>
      </c>
      <c r="C93" s="911">
        <v>139.03</v>
      </c>
      <c r="D93" s="911">
        <f t="shared" si="2"/>
        <v>178.42183333333332</v>
      </c>
    </row>
    <row r="94" spans="2:6" outlineLevel="2" x14ac:dyDescent="0.25">
      <c r="B94" s="15" t="s">
        <v>629</v>
      </c>
      <c r="C94" s="911">
        <v>164.84</v>
      </c>
      <c r="D94" s="911">
        <f t="shared" si="2"/>
        <v>211.54466666666664</v>
      </c>
    </row>
    <row r="95" spans="2:6" outlineLevel="2" x14ac:dyDescent="0.25">
      <c r="B95" s="15" t="s">
        <v>656</v>
      </c>
      <c r="C95" s="911">
        <v>4.3</v>
      </c>
      <c r="D95" s="911">
        <f t="shared" si="2"/>
        <v>5.5183333333333326</v>
      </c>
    </row>
    <row r="96" spans="2:6" outlineLevel="2" x14ac:dyDescent="0.25">
      <c r="B96" s="15" t="s">
        <v>630</v>
      </c>
      <c r="C96" s="911">
        <v>140.09</v>
      </c>
      <c r="D96" s="911">
        <f t="shared" si="2"/>
        <v>179.78216666666665</v>
      </c>
    </row>
    <row r="97" spans="2:4" outlineLevel="2" x14ac:dyDescent="0.25">
      <c r="B97" s="15" t="s">
        <v>631</v>
      </c>
      <c r="C97" s="911">
        <v>140.09</v>
      </c>
      <c r="D97" s="911">
        <f t="shared" si="2"/>
        <v>179.78216666666665</v>
      </c>
    </row>
    <row r="98" spans="2:4" outlineLevel="2" x14ac:dyDescent="0.25">
      <c r="B98" s="15" t="s">
        <v>632</v>
      </c>
      <c r="C98" s="911">
        <v>140.09</v>
      </c>
      <c r="D98" s="911">
        <f t="shared" si="2"/>
        <v>179.78216666666665</v>
      </c>
    </row>
    <row r="99" spans="2:4" outlineLevel="2" x14ac:dyDescent="0.25">
      <c r="B99" s="15" t="s">
        <v>633</v>
      </c>
      <c r="C99" s="912">
        <v>140.09</v>
      </c>
      <c r="D99" s="912">
        <f t="shared" si="2"/>
        <v>179.78216666666665</v>
      </c>
    </row>
    <row r="100" spans="2:4" outlineLevel="2" x14ac:dyDescent="0.25">
      <c r="B100" s="15" t="s">
        <v>657</v>
      </c>
      <c r="C100" s="911">
        <v>118.81</v>
      </c>
      <c r="D100" s="911">
        <f t="shared" si="2"/>
        <v>152.47283333333334</v>
      </c>
    </row>
    <row r="101" spans="2:4" outlineLevel="2" x14ac:dyDescent="0.25">
      <c r="B101" s="15" t="s">
        <v>658</v>
      </c>
      <c r="C101" s="911">
        <v>118.81</v>
      </c>
      <c r="D101" s="911">
        <f t="shared" si="2"/>
        <v>152.47283333333334</v>
      </c>
    </row>
    <row r="102" spans="2:4" outlineLevel="2" x14ac:dyDescent="0.25">
      <c r="B102" s="15" t="s">
        <v>638</v>
      </c>
      <c r="C102" s="911">
        <v>105.64</v>
      </c>
      <c r="D102" s="911">
        <f t="shared" si="2"/>
        <v>135.57133333333331</v>
      </c>
    </row>
    <row r="103" spans="2:4" outlineLevel="2" x14ac:dyDescent="0.25">
      <c r="B103" s="15" t="s">
        <v>639</v>
      </c>
      <c r="C103" s="911">
        <v>98.16</v>
      </c>
      <c r="D103" s="911">
        <f t="shared" si="2"/>
        <v>125.97199999999998</v>
      </c>
    </row>
    <row r="104" spans="2:4" outlineLevel="2" x14ac:dyDescent="0.25">
      <c r="B104" s="15" t="s">
        <v>640</v>
      </c>
      <c r="C104" s="911">
        <v>94.48</v>
      </c>
      <c r="D104" s="911">
        <f t="shared" si="2"/>
        <v>121.24933333333333</v>
      </c>
    </row>
    <row r="105" spans="2:4" outlineLevel="2" x14ac:dyDescent="0.25">
      <c r="B105" s="15" t="s">
        <v>641</v>
      </c>
      <c r="C105" s="911">
        <v>6.55</v>
      </c>
      <c r="D105" s="911">
        <f t="shared" si="2"/>
        <v>8.4058333333333337</v>
      </c>
    </row>
    <row r="106" spans="2:4" outlineLevel="2" x14ac:dyDescent="0.25">
      <c r="B106" s="15" t="s">
        <v>643</v>
      </c>
      <c r="C106" s="911">
        <v>47.1</v>
      </c>
      <c r="D106" s="911">
        <f t="shared" si="2"/>
        <v>60.444999999999993</v>
      </c>
    </row>
    <row r="107" spans="2:4" outlineLevel="2" x14ac:dyDescent="0.25">
      <c r="B107" s="15" t="s">
        <v>644</v>
      </c>
      <c r="C107" s="911">
        <v>77.8</v>
      </c>
      <c r="D107" s="911">
        <f t="shared" si="2"/>
        <v>99.84333333333332</v>
      </c>
    </row>
    <row r="108" spans="2:4" outlineLevel="2" x14ac:dyDescent="0.25">
      <c r="B108" s="15" t="s">
        <v>645</v>
      </c>
      <c r="C108" s="911">
        <v>16.3</v>
      </c>
      <c r="D108" s="911">
        <f t="shared" si="2"/>
        <v>20.918333333333333</v>
      </c>
    </row>
    <row r="109" spans="2:4" outlineLevel="2" x14ac:dyDescent="0.25">
      <c r="B109" s="15" t="s">
        <v>646</v>
      </c>
      <c r="C109" s="911">
        <v>24.1</v>
      </c>
      <c r="D109" s="911">
        <f t="shared" si="2"/>
        <v>30.928333333333335</v>
      </c>
    </row>
    <row r="110" spans="2:4" outlineLevel="2" x14ac:dyDescent="0.25">
      <c r="B110" s="15" t="s">
        <v>647</v>
      </c>
      <c r="C110" s="911">
        <v>14.9</v>
      </c>
      <c r="D110" s="911">
        <f t="shared" si="2"/>
        <v>19.121666666666666</v>
      </c>
    </row>
    <row r="111" spans="2:4" outlineLevel="2" x14ac:dyDescent="0.25">
      <c r="B111" s="15" t="s">
        <v>648</v>
      </c>
      <c r="C111" s="911">
        <v>38</v>
      </c>
      <c r="D111" s="911">
        <f t="shared" si="2"/>
        <v>48.766666666666659</v>
      </c>
    </row>
    <row r="112" spans="2:4" outlineLevel="2" x14ac:dyDescent="0.25">
      <c r="B112" s="15" t="s">
        <v>649</v>
      </c>
      <c r="C112" s="911">
        <v>14.9</v>
      </c>
      <c r="D112" s="911">
        <f t="shared" si="2"/>
        <v>19.121666666666666</v>
      </c>
    </row>
    <row r="113" spans="2:4" outlineLevel="2" x14ac:dyDescent="0.25">
      <c r="B113" s="15" t="s">
        <v>650</v>
      </c>
      <c r="C113" s="911">
        <v>14.9</v>
      </c>
      <c r="D113" s="911">
        <f t="shared" si="2"/>
        <v>19.121666666666666</v>
      </c>
    </row>
    <row r="114" spans="2:4" outlineLevel="2" x14ac:dyDescent="0.25"/>
    <row r="115" spans="2:4" x14ac:dyDescent="0.25">
      <c r="B115" s="908" t="s">
        <v>659</v>
      </c>
      <c r="C115" s="908" t="str">
        <f>$C$25</f>
        <v>tC/ha</v>
      </c>
      <c r="D115" s="908" t="s">
        <v>695</v>
      </c>
    </row>
    <row r="116" spans="2:4" outlineLevel="1" x14ac:dyDescent="0.25">
      <c r="B116" s="15" t="s">
        <v>12</v>
      </c>
    </row>
    <row r="117" spans="2:4" outlineLevel="1" x14ac:dyDescent="0.25">
      <c r="B117" s="15" t="s">
        <v>621</v>
      </c>
      <c r="C117" s="911">
        <v>166.93</v>
      </c>
      <c r="D117" s="911">
        <f t="shared" ref="D117:D152" si="3">(C117*(1-$E$16)*$J$12)</f>
        <v>214.22683333333333</v>
      </c>
    </row>
    <row r="118" spans="2:4" outlineLevel="1" x14ac:dyDescent="0.25">
      <c r="B118" s="15" t="s">
        <v>622</v>
      </c>
      <c r="C118" s="911">
        <v>166.93</v>
      </c>
      <c r="D118" s="911">
        <f t="shared" si="3"/>
        <v>214.22683333333333</v>
      </c>
    </row>
    <row r="119" spans="2:4" outlineLevel="1" x14ac:dyDescent="0.25">
      <c r="B119" s="15" t="s">
        <v>652</v>
      </c>
      <c r="C119" s="911">
        <v>166.93</v>
      </c>
      <c r="D119" s="911">
        <f t="shared" si="3"/>
        <v>214.22683333333333</v>
      </c>
    </row>
    <row r="120" spans="2:4" outlineLevel="1" x14ac:dyDescent="0.25">
      <c r="B120" s="15" t="s">
        <v>623</v>
      </c>
      <c r="C120" s="911">
        <v>166.93</v>
      </c>
      <c r="D120" s="911">
        <f t="shared" si="3"/>
        <v>214.22683333333333</v>
      </c>
    </row>
    <row r="121" spans="2:4" outlineLevel="1" x14ac:dyDescent="0.25">
      <c r="B121" s="15" t="s">
        <v>660</v>
      </c>
      <c r="C121" s="911">
        <v>116.27</v>
      </c>
      <c r="D121" s="911">
        <f t="shared" si="3"/>
        <v>149.21316666666667</v>
      </c>
    </row>
    <row r="122" spans="2:4" outlineLevel="1" x14ac:dyDescent="0.25">
      <c r="B122" s="15" t="s">
        <v>624</v>
      </c>
      <c r="C122" s="911">
        <v>116.27</v>
      </c>
      <c r="D122" s="911">
        <f t="shared" si="3"/>
        <v>149.21316666666667</v>
      </c>
    </row>
    <row r="123" spans="2:4" outlineLevel="1" x14ac:dyDescent="0.25">
      <c r="B123" s="15" t="s">
        <v>653</v>
      </c>
      <c r="C123" s="911">
        <v>104.95</v>
      </c>
      <c r="D123" s="911">
        <f t="shared" si="3"/>
        <v>134.68583333333333</v>
      </c>
    </row>
    <row r="124" spans="2:4" outlineLevel="1" x14ac:dyDescent="0.25">
      <c r="B124" s="15" t="s">
        <v>625</v>
      </c>
      <c r="C124" s="911">
        <v>116.27</v>
      </c>
      <c r="D124" s="911">
        <f t="shared" si="3"/>
        <v>149.21316666666667</v>
      </c>
    </row>
    <row r="125" spans="2:4" outlineLevel="1" x14ac:dyDescent="0.25">
      <c r="B125" s="15" t="s">
        <v>626</v>
      </c>
      <c r="C125" s="911">
        <v>166.93</v>
      </c>
      <c r="D125" s="911">
        <f t="shared" si="3"/>
        <v>214.22683333333333</v>
      </c>
    </row>
    <row r="126" spans="2:4" outlineLevel="1" x14ac:dyDescent="0.25">
      <c r="B126" s="15" t="s">
        <v>627</v>
      </c>
      <c r="C126" s="911">
        <v>135.76</v>
      </c>
      <c r="D126" s="911">
        <f t="shared" si="3"/>
        <v>174.22533333333328</v>
      </c>
    </row>
    <row r="127" spans="2:4" outlineLevel="1" x14ac:dyDescent="0.25">
      <c r="B127" s="15" t="s">
        <v>628</v>
      </c>
      <c r="C127" s="911">
        <v>122.92</v>
      </c>
      <c r="D127" s="911">
        <f t="shared" si="3"/>
        <v>157.74733333333333</v>
      </c>
    </row>
    <row r="128" spans="2:4" outlineLevel="1" x14ac:dyDescent="0.25">
      <c r="B128" s="15" t="s">
        <v>661</v>
      </c>
      <c r="C128" s="911">
        <v>122.92</v>
      </c>
      <c r="D128" s="911">
        <f t="shared" si="3"/>
        <v>157.74733333333333</v>
      </c>
    </row>
    <row r="129" spans="2:4" outlineLevel="1" x14ac:dyDescent="0.25">
      <c r="B129" s="15" t="s">
        <v>629</v>
      </c>
      <c r="C129" s="911">
        <v>122.92</v>
      </c>
      <c r="D129" s="911">
        <f t="shared" si="3"/>
        <v>157.74733333333333</v>
      </c>
    </row>
    <row r="130" spans="2:4" outlineLevel="1" x14ac:dyDescent="0.25">
      <c r="B130" s="15" t="s">
        <v>656</v>
      </c>
      <c r="C130" s="911">
        <v>4.3</v>
      </c>
      <c r="D130" s="911">
        <f t="shared" si="3"/>
        <v>5.5183333333333326</v>
      </c>
    </row>
    <row r="131" spans="2:4" outlineLevel="1" x14ac:dyDescent="0.25">
      <c r="B131" s="15" t="s">
        <v>662</v>
      </c>
      <c r="C131" s="911">
        <v>4.3</v>
      </c>
      <c r="D131" s="911">
        <f t="shared" si="3"/>
        <v>5.5183333333333326</v>
      </c>
    </row>
    <row r="132" spans="2:4" outlineLevel="1" x14ac:dyDescent="0.25">
      <c r="B132" s="15" t="s">
        <v>630</v>
      </c>
      <c r="C132" s="911">
        <v>140.09</v>
      </c>
      <c r="D132" s="911">
        <f t="shared" si="3"/>
        <v>179.78216666666665</v>
      </c>
    </row>
    <row r="133" spans="2:4" outlineLevel="1" x14ac:dyDescent="0.25">
      <c r="B133" s="15" t="s">
        <v>631</v>
      </c>
      <c r="C133" s="911">
        <v>140.09</v>
      </c>
      <c r="D133" s="911">
        <f t="shared" si="3"/>
        <v>179.78216666666665</v>
      </c>
    </row>
    <row r="134" spans="2:4" outlineLevel="1" x14ac:dyDescent="0.25">
      <c r="B134" s="15" t="s">
        <v>632</v>
      </c>
      <c r="C134" s="911">
        <v>140.09</v>
      </c>
      <c r="D134" s="911">
        <f t="shared" si="3"/>
        <v>179.78216666666665</v>
      </c>
    </row>
    <row r="135" spans="2:4" outlineLevel="1" x14ac:dyDescent="0.25">
      <c r="B135" s="15" t="s">
        <v>633</v>
      </c>
      <c r="C135" s="911">
        <v>140.09</v>
      </c>
      <c r="D135" s="911">
        <f t="shared" si="3"/>
        <v>179.78216666666665</v>
      </c>
    </row>
    <row r="136" spans="2:4" outlineLevel="1" x14ac:dyDescent="0.25">
      <c r="B136" s="15" t="s">
        <v>663</v>
      </c>
      <c r="C136" s="911">
        <v>104.23</v>
      </c>
      <c r="D136" s="911">
        <f t="shared" si="3"/>
        <v>133.76183333333333</v>
      </c>
    </row>
    <row r="137" spans="2:4" outlineLevel="1" x14ac:dyDescent="0.25">
      <c r="B137" s="15" t="s">
        <v>657</v>
      </c>
      <c r="C137" s="911">
        <v>118.81</v>
      </c>
      <c r="D137" s="911">
        <f t="shared" si="3"/>
        <v>152.47283333333334</v>
      </c>
    </row>
    <row r="138" spans="2:4" outlineLevel="1" x14ac:dyDescent="0.25">
      <c r="B138" s="15" t="s">
        <v>658</v>
      </c>
      <c r="C138" s="911">
        <v>118.81</v>
      </c>
      <c r="D138" s="911">
        <f t="shared" si="3"/>
        <v>152.47283333333334</v>
      </c>
    </row>
    <row r="139" spans="2:4" outlineLevel="1" x14ac:dyDescent="0.25">
      <c r="B139" s="15" t="s">
        <v>664</v>
      </c>
      <c r="C139" s="911">
        <v>118.81</v>
      </c>
      <c r="D139" s="911">
        <f t="shared" si="3"/>
        <v>152.47283333333334</v>
      </c>
    </row>
    <row r="140" spans="2:4" outlineLevel="1" x14ac:dyDescent="0.25">
      <c r="B140" s="15" t="s">
        <v>638</v>
      </c>
      <c r="C140" s="911">
        <v>105.64</v>
      </c>
      <c r="D140" s="911">
        <f t="shared" si="3"/>
        <v>135.57133333333331</v>
      </c>
    </row>
    <row r="141" spans="2:4" outlineLevel="1" x14ac:dyDescent="0.25">
      <c r="B141" s="15" t="s">
        <v>639</v>
      </c>
      <c r="C141" s="911">
        <v>98.16</v>
      </c>
      <c r="D141" s="911">
        <f t="shared" si="3"/>
        <v>125.97199999999998</v>
      </c>
    </row>
    <row r="142" spans="2:4" outlineLevel="1" x14ac:dyDescent="0.25">
      <c r="B142" s="15" t="s">
        <v>640</v>
      </c>
      <c r="C142" s="911">
        <v>94.48</v>
      </c>
      <c r="D142" s="911">
        <f t="shared" si="3"/>
        <v>121.24933333333333</v>
      </c>
    </row>
    <row r="143" spans="2:4" outlineLevel="1" x14ac:dyDescent="0.25">
      <c r="B143" s="15" t="s">
        <v>654</v>
      </c>
      <c r="C143" s="911">
        <v>6.55</v>
      </c>
      <c r="D143" s="911">
        <f t="shared" si="3"/>
        <v>8.4058333333333337</v>
      </c>
    </row>
    <row r="144" spans="2:4" outlineLevel="1" x14ac:dyDescent="0.25">
      <c r="B144" s="15" t="s">
        <v>641</v>
      </c>
      <c r="C144" s="911">
        <v>6.55</v>
      </c>
      <c r="D144" s="911">
        <f t="shared" si="3"/>
        <v>8.4058333333333337</v>
      </c>
    </row>
    <row r="145" spans="2:4" outlineLevel="1" x14ac:dyDescent="0.25">
      <c r="B145" s="15" t="s">
        <v>642</v>
      </c>
      <c r="C145" s="911">
        <v>6.55</v>
      </c>
      <c r="D145" s="911">
        <f t="shared" si="3"/>
        <v>8.4058333333333337</v>
      </c>
    </row>
    <row r="146" spans="2:4" outlineLevel="1" x14ac:dyDescent="0.25">
      <c r="B146" s="15" t="s">
        <v>643</v>
      </c>
      <c r="C146" s="911">
        <v>47.1</v>
      </c>
      <c r="D146" s="911">
        <f t="shared" si="3"/>
        <v>60.444999999999993</v>
      </c>
    </row>
    <row r="147" spans="2:4" outlineLevel="1" x14ac:dyDescent="0.25">
      <c r="B147" s="15" t="s">
        <v>644</v>
      </c>
      <c r="C147" s="911">
        <v>77.8</v>
      </c>
      <c r="D147" s="911">
        <f t="shared" si="3"/>
        <v>99.84333333333332</v>
      </c>
    </row>
    <row r="148" spans="2:4" outlineLevel="1" x14ac:dyDescent="0.25">
      <c r="B148" s="15" t="s">
        <v>645</v>
      </c>
      <c r="C148" s="911">
        <v>16.3</v>
      </c>
      <c r="D148" s="911">
        <f t="shared" si="3"/>
        <v>20.918333333333333</v>
      </c>
    </row>
    <row r="149" spans="2:4" outlineLevel="1" x14ac:dyDescent="0.25">
      <c r="B149" s="15" t="s">
        <v>646</v>
      </c>
      <c r="C149" s="911">
        <v>24.1</v>
      </c>
      <c r="D149" s="911">
        <f t="shared" si="3"/>
        <v>30.928333333333335</v>
      </c>
    </row>
    <row r="150" spans="2:4" outlineLevel="1" x14ac:dyDescent="0.25">
      <c r="B150" s="15" t="s">
        <v>647</v>
      </c>
      <c r="C150" s="911">
        <v>14.9</v>
      </c>
      <c r="D150" s="911">
        <f t="shared" si="3"/>
        <v>19.121666666666666</v>
      </c>
    </row>
    <row r="151" spans="2:4" outlineLevel="1" x14ac:dyDescent="0.25">
      <c r="B151" s="15" t="s">
        <v>648</v>
      </c>
      <c r="C151" s="911">
        <v>38</v>
      </c>
      <c r="D151" s="911">
        <f t="shared" si="3"/>
        <v>48.766666666666659</v>
      </c>
    </row>
    <row r="152" spans="2:4" outlineLevel="1" x14ac:dyDescent="0.25">
      <c r="B152" s="15" t="s">
        <v>649</v>
      </c>
      <c r="C152" s="911">
        <v>14.9</v>
      </c>
      <c r="D152" s="911">
        <f t="shared" si="3"/>
        <v>19.121666666666666</v>
      </c>
    </row>
    <row r="153" spans="2:4" outlineLevel="1" x14ac:dyDescent="0.25">
      <c r="B153" s="15"/>
      <c r="C153" s="911"/>
      <c r="D153" s="911"/>
    </row>
    <row r="154" spans="2:4" x14ac:dyDescent="0.25">
      <c r="B154" s="908" t="s">
        <v>665</v>
      </c>
      <c r="C154" s="908" t="str">
        <f>$C$25</f>
        <v>tC/ha</v>
      </c>
      <c r="D154" s="908" t="s">
        <v>695</v>
      </c>
    </row>
    <row r="155" spans="2:4" outlineLevel="1" x14ac:dyDescent="0.25">
      <c r="B155" s="15" t="s">
        <v>12</v>
      </c>
    </row>
    <row r="156" spans="2:4" outlineLevel="1" x14ac:dyDescent="0.25">
      <c r="B156" s="15" t="s">
        <v>660</v>
      </c>
      <c r="C156" s="911">
        <v>116.27</v>
      </c>
      <c r="D156" s="911">
        <f t="shared" ref="D156:D173" si="4">(C156*(1-$E$16)*$J$12)</f>
        <v>149.21316666666667</v>
      </c>
    </row>
    <row r="157" spans="2:4" outlineLevel="1" x14ac:dyDescent="0.25">
      <c r="B157" s="15" t="s">
        <v>653</v>
      </c>
      <c r="C157" s="911">
        <v>104.95</v>
      </c>
      <c r="D157" s="911">
        <f t="shared" si="4"/>
        <v>134.68583333333333</v>
      </c>
    </row>
    <row r="158" spans="2:4" outlineLevel="1" x14ac:dyDescent="0.25">
      <c r="B158" s="15" t="s">
        <v>625</v>
      </c>
      <c r="C158" s="911">
        <v>116.27</v>
      </c>
      <c r="D158" s="911">
        <f t="shared" si="4"/>
        <v>149.21316666666667</v>
      </c>
    </row>
    <row r="159" spans="2:4" outlineLevel="1" x14ac:dyDescent="0.25">
      <c r="B159" s="15" t="s">
        <v>629</v>
      </c>
      <c r="C159" s="911">
        <v>122.92</v>
      </c>
      <c r="D159" s="911">
        <f t="shared" si="4"/>
        <v>157.74733333333333</v>
      </c>
    </row>
    <row r="160" spans="2:4" outlineLevel="1" x14ac:dyDescent="0.25">
      <c r="B160" s="15" t="s">
        <v>656</v>
      </c>
      <c r="C160" s="911">
        <v>4.3</v>
      </c>
      <c r="D160" s="911">
        <f t="shared" si="4"/>
        <v>5.5183333333333326</v>
      </c>
    </row>
    <row r="161" spans="2:4" outlineLevel="1" x14ac:dyDescent="0.25">
      <c r="B161" s="15" t="s">
        <v>662</v>
      </c>
      <c r="C161" s="911">
        <v>4.3</v>
      </c>
      <c r="D161" s="911">
        <f t="shared" si="4"/>
        <v>5.5183333333333326</v>
      </c>
    </row>
    <row r="162" spans="2:4" outlineLevel="1" x14ac:dyDescent="0.25">
      <c r="B162" s="15" t="s">
        <v>631</v>
      </c>
      <c r="C162" s="911">
        <v>140.09</v>
      </c>
      <c r="D162" s="911">
        <f t="shared" si="4"/>
        <v>179.78216666666665</v>
      </c>
    </row>
    <row r="163" spans="2:4" outlineLevel="1" x14ac:dyDescent="0.25">
      <c r="B163" s="15" t="s">
        <v>632</v>
      </c>
      <c r="C163" s="911">
        <v>140.09</v>
      </c>
      <c r="D163" s="911">
        <f t="shared" si="4"/>
        <v>179.78216666666665</v>
      </c>
    </row>
    <row r="164" spans="2:4" outlineLevel="1" x14ac:dyDescent="0.25">
      <c r="B164" s="15" t="s">
        <v>633</v>
      </c>
      <c r="C164" s="911">
        <v>140.09</v>
      </c>
      <c r="D164" s="911">
        <f t="shared" si="4"/>
        <v>179.78216666666665</v>
      </c>
    </row>
    <row r="165" spans="2:4" outlineLevel="1" x14ac:dyDescent="0.25">
      <c r="B165" s="15" t="s">
        <v>658</v>
      </c>
      <c r="C165" s="911">
        <v>118.81</v>
      </c>
      <c r="D165" s="911">
        <f t="shared" si="4"/>
        <v>152.47283333333334</v>
      </c>
    </row>
    <row r="166" spans="2:4" outlineLevel="1" x14ac:dyDescent="0.25">
      <c r="B166" s="15" t="s">
        <v>638</v>
      </c>
      <c r="C166" s="911">
        <v>105.64</v>
      </c>
      <c r="D166" s="911">
        <f t="shared" si="4"/>
        <v>135.57133333333331</v>
      </c>
    </row>
    <row r="167" spans="2:4" outlineLevel="1" x14ac:dyDescent="0.25">
      <c r="B167" s="15" t="s">
        <v>639</v>
      </c>
      <c r="C167" s="911">
        <v>98.16</v>
      </c>
      <c r="D167" s="911">
        <f t="shared" si="4"/>
        <v>125.97199999999998</v>
      </c>
    </row>
    <row r="168" spans="2:4" outlineLevel="1" x14ac:dyDescent="0.25">
      <c r="B168" s="15" t="s">
        <v>640</v>
      </c>
      <c r="C168" s="911">
        <v>94.48</v>
      </c>
      <c r="D168" s="911">
        <f t="shared" si="4"/>
        <v>121.24933333333333</v>
      </c>
    </row>
    <row r="169" spans="2:4" outlineLevel="1" x14ac:dyDescent="0.25">
      <c r="B169" s="15" t="s">
        <v>643</v>
      </c>
      <c r="C169" s="911">
        <v>47.1</v>
      </c>
      <c r="D169" s="911">
        <f t="shared" si="4"/>
        <v>60.444999999999993</v>
      </c>
    </row>
    <row r="170" spans="2:4" outlineLevel="1" x14ac:dyDescent="0.25">
      <c r="B170" s="15" t="s">
        <v>644</v>
      </c>
      <c r="C170" s="911">
        <v>77.8</v>
      </c>
      <c r="D170" s="911">
        <f t="shared" si="4"/>
        <v>99.84333333333332</v>
      </c>
    </row>
    <row r="171" spans="2:4" outlineLevel="1" x14ac:dyDescent="0.25">
      <c r="B171" s="15" t="s">
        <v>645</v>
      </c>
      <c r="C171" s="911">
        <v>16.3</v>
      </c>
      <c r="D171" s="911">
        <f t="shared" si="4"/>
        <v>20.918333333333333</v>
      </c>
    </row>
    <row r="172" spans="2:4" outlineLevel="1" x14ac:dyDescent="0.25">
      <c r="B172" s="15" t="s">
        <v>647</v>
      </c>
      <c r="C172" s="911">
        <v>14.41</v>
      </c>
      <c r="D172" s="911">
        <f t="shared" si="4"/>
        <v>18.492833333333333</v>
      </c>
    </row>
    <row r="173" spans="2:4" outlineLevel="1" x14ac:dyDescent="0.25">
      <c r="B173" s="15" t="s">
        <v>649</v>
      </c>
      <c r="C173" s="911">
        <v>3.99</v>
      </c>
      <c r="D173" s="911">
        <f t="shared" si="4"/>
        <v>5.1204999999999998</v>
      </c>
    </row>
    <row r="174" spans="2:4" outlineLevel="1" x14ac:dyDescent="0.25"/>
    <row r="175" spans="2:4" x14ac:dyDescent="0.25">
      <c r="B175" s="908" t="s">
        <v>666</v>
      </c>
      <c r="C175" s="908" t="str">
        <f>$C$25</f>
        <v>tC/ha</v>
      </c>
      <c r="D175" s="908" t="s">
        <v>695</v>
      </c>
    </row>
    <row r="176" spans="2:4" outlineLevel="1" x14ac:dyDescent="0.25">
      <c r="B176" s="15" t="s">
        <v>12</v>
      </c>
    </row>
    <row r="177" spans="2:4" outlineLevel="1" x14ac:dyDescent="0.25">
      <c r="B177" s="15" t="s">
        <v>660</v>
      </c>
      <c r="C177" s="911">
        <v>116.27</v>
      </c>
      <c r="D177" s="911">
        <f t="shared" ref="D177:D191" si="5">(C177*(1-$E$16)*$J$12)</f>
        <v>149.21316666666667</v>
      </c>
    </row>
    <row r="178" spans="2:4" outlineLevel="1" x14ac:dyDescent="0.25">
      <c r="B178" s="15" t="s">
        <v>624</v>
      </c>
      <c r="C178" s="911">
        <v>116.27</v>
      </c>
      <c r="D178" s="911">
        <f t="shared" si="5"/>
        <v>149.21316666666667</v>
      </c>
    </row>
    <row r="179" spans="2:4" outlineLevel="1" x14ac:dyDescent="0.25">
      <c r="B179" s="15" t="s">
        <v>625</v>
      </c>
      <c r="C179" s="911">
        <v>116.27</v>
      </c>
      <c r="D179" s="911">
        <f t="shared" si="5"/>
        <v>149.21316666666667</v>
      </c>
    </row>
    <row r="180" spans="2:4" outlineLevel="1" x14ac:dyDescent="0.25">
      <c r="B180" s="15" t="s">
        <v>630</v>
      </c>
      <c r="C180" s="911">
        <v>140.09</v>
      </c>
      <c r="D180" s="911">
        <f t="shared" si="5"/>
        <v>179.78216666666665</v>
      </c>
    </row>
    <row r="181" spans="2:4" outlineLevel="1" x14ac:dyDescent="0.25">
      <c r="B181" s="15" t="s">
        <v>631</v>
      </c>
      <c r="C181" s="911">
        <v>140.09</v>
      </c>
      <c r="D181" s="911">
        <f t="shared" si="5"/>
        <v>179.78216666666665</v>
      </c>
    </row>
    <row r="182" spans="2:4" outlineLevel="1" x14ac:dyDescent="0.25">
      <c r="B182" s="15" t="s">
        <v>633</v>
      </c>
      <c r="C182" s="911">
        <v>140.09</v>
      </c>
      <c r="D182" s="911">
        <f t="shared" si="5"/>
        <v>179.78216666666665</v>
      </c>
    </row>
    <row r="183" spans="2:4" outlineLevel="1" x14ac:dyDescent="0.25">
      <c r="B183" s="15" t="s">
        <v>638</v>
      </c>
      <c r="C183" s="911">
        <v>105.64</v>
      </c>
      <c r="D183" s="911">
        <f t="shared" si="5"/>
        <v>135.57133333333331</v>
      </c>
    </row>
    <row r="184" spans="2:4" outlineLevel="1" x14ac:dyDescent="0.25">
      <c r="B184" s="15" t="s">
        <v>643</v>
      </c>
      <c r="C184" s="911">
        <v>47.1</v>
      </c>
      <c r="D184" s="911">
        <f t="shared" si="5"/>
        <v>60.444999999999993</v>
      </c>
    </row>
    <row r="185" spans="2:4" outlineLevel="1" x14ac:dyDescent="0.25">
      <c r="B185" s="15" t="s">
        <v>644</v>
      </c>
      <c r="C185" s="911">
        <v>77.8</v>
      </c>
      <c r="D185" s="911">
        <f t="shared" si="5"/>
        <v>99.84333333333332</v>
      </c>
    </row>
    <row r="186" spans="2:4" outlineLevel="1" x14ac:dyDescent="0.25">
      <c r="B186" s="15" t="s">
        <v>645</v>
      </c>
      <c r="C186" s="911">
        <v>16.3</v>
      </c>
      <c r="D186" s="911">
        <f t="shared" si="5"/>
        <v>20.918333333333333</v>
      </c>
    </row>
    <row r="187" spans="2:4" outlineLevel="1" x14ac:dyDescent="0.25">
      <c r="B187" s="15" t="s">
        <v>646</v>
      </c>
      <c r="C187" s="911">
        <v>24.1</v>
      </c>
      <c r="D187" s="911">
        <f t="shared" si="5"/>
        <v>30.928333333333335</v>
      </c>
    </row>
    <row r="188" spans="2:4" outlineLevel="1" x14ac:dyDescent="0.25">
      <c r="B188" s="15" t="s">
        <v>647</v>
      </c>
      <c r="C188" s="911">
        <v>14.41</v>
      </c>
      <c r="D188" s="911">
        <f t="shared" si="5"/>
        <v>18.492833333333333</v>
      </c>
    </row>
    <row r="189" spans="2:4" outlineLevel="1" x14ac:dyDescent="0.25">
      <c r="B189" s="15" t="s">
        <v>648</v>
      </c>
      <c r="C189" s="911">
        <v>30.1</v>
      </c>
      <c r="D189" s="911">
        <f t="shared" si="5"/>
        <v>38.62833333333333</v>
      </c>
    </row>
    <row r="190" spans="2:4" outlineLevel="1" x14ac:dyDescent="0.25">
      <c r="B190" s="15" t="s">
        <v>649</v>
      </c>
      <c r="C190" s="911">
        <v>3.99</v>
      </c>
      <c r="D190" s="911">
        <f t="shared" si="5"/>
        <v>5.1204999999999998</v>
      </c>
    </row>
    <row r="191" spans="2:4" outlineLevel="1" x14ac:dyDescent="0.25">
      <c r="B191" s="15" t="s">
        <v>650</v>
      </c>
      <c r="C191" s="911">
        <v>8.9700000000000006</v>
      </c>
      <c r="D191" s="911">
        <f t="shared" si="5"/>
        <v>11.5115</v>
      </c>
    </row>
    <row r="193" spans="1:7" x14ac:dyDescent="0.25">
      <c r="B193" s="389" t="s">
        <v>1331</v>
      </c>
    </row>
    <row r="194" spans="1:7" x14ac:dyDescent="0.25">
      <c r="A194" s="13"/>
      <c r="B194" s="1730"/>
      <c r="C194" s="1730"/>
      <c r="D194" s="646"/>
      <c r="E194" s="640"/>
      <c r="F194" s="640"/>
    </row>
    <row r="195" spans="1:7" ht="16.5" x14ac:dyDescent="0.25">
      <c r="B195" s="1735" t="s">
        <v>1473</v>
      </c>
      <c r="C195" s="1735"/>
      <c r="D195" s="1074" t="str">
        <f>IF('Regulação do clima global'!J18="Selecione","",(VLOOKUP('Regulação do clima global'!J18,'Apoio_Regulação do clima global'!B20:D23,3,0)))</f>
        <v/>
      </c>
      <c r="E195" s="642" t="s">
        <v>1136</v>
      </c>
      <c r="F195" s="1062"/>
      <c r="G195" s="640"/>
    </row>
    <row r="196" spans="1:7" x14ac:dyDescent="0.25">
      <c r="B196" s="1735" t="s">
        <v>1474</v>
      </c>
      <c r="C196" s="1735"/>
      <c r="D196" s="643"/>
      <c r="E196" s="644"/>
      <c r="F196" s="639"/>
      <c r="G196" s="639"/>
    </row>
    <row r="197" spans="1:7" ht="16.5" x14ac:dyDescent="0.25">
      <c r="B197" s="1736" t="s">
        <v>597</v>
      </c>
      <c r="C197" s="1736"/>
      <c r="D197" s="647" t="str">
        <f>IFERROR(IF('Regulação do clima global'!$J$14&lt;&gt;"",'Regulação do clima global'!$J$14*0.4,'Regulação do clima global'!$J$15*0.4),"")</f>
        <v/>
      </c>
      <c r="E197" s="642" t="s">
        <v>1136</v>
      </c>
      <c r="F197" s="639"/>
      <c r="G197" s="639"/>
    </row>
    <row r="198" spans="1:7" ht="16.5" x14ac:dyDescent="0.25">
      <c r="B198" s="1736" t="s">
        <v>598</v>
      </c>
      <c r="C198" s="1736"/>
      <c r="D198" s="647" t="str">
        <f>IFERROR(IF('Regulação do clima global'!$J$14&gt;0,'Regulação do clima global'!$J$14*0.6,'Regulação do clima global'!$J$15*0.6),"")</f>
        <v/>
      </c>
      <c r="E198" s="642" t="s">
        <v>1136</v>
      </c>
      <c r="F198" s="639"/>
      <c r="G198" s="639"/>
    </row>
    <row r="199" spans="1:7" ht="16.5" x14ac:dyDescent="0.25">
      <c r="B199" s="1736" t="s">
        <v>599</v>
      </c>
      <c r="C199" s="1736"/>
      <c r="D199" s="647" t="str">
        <f>IFERROR(IF('Regulação do clima global'!$J$14&gt;0,'Regulação do clima global'!$J$14*0.8,'Regulação do clima global'!$J$15*0.8),"")</f>
        <v/>
      </c>
      <c r="E199" s="642" t="s">
        <v>1136</v>
      </c>
      <c r="F199" s="639"/>
      <c r="G199" s="639"/>
    </row>
    <row r="200" spans="1:7" ht="16.5" x14ac:dyDescent="0.25">
      <c r="B200" s="748"/>
      <c r="C200" s="749" t="s">
        <v>596</v>
      </c>
      <c r="D200" s="647" t="str">
        <f>IFERROR(IF('Regulação do clima global'!$J$14&gt;0,'Regulação do clima global'!$J$14*1,'Regulação do clima global'!$J$15*1),"")</f>
        <v/>
      </c>
      <c r="E200" s="642" t="s">
        <v>1332</v>
      </c>
      <c r="F200" s="639"/>
      <c r="G200" s="639"/>
    </row>
    <row r="201" spans="1:7" ht="15" customHeight="1" x14ac:dyDescent="0.25">
      <c r="B201" s="1735" t="s">
        <v>1475</v>
      </c>
      <c r="C201" s="1735"/>
      <c r="D201" s="648" t="str">
        <f>IFERROR(VLOOKUP('Regulação do clima global'!J30,'Apoio_Regulação do clima global'!I5:J8,2,0),"")</f>
        <v/>
      </c>
      <c r="E201" s="644"/>
      <c r="F201" s="641"/>
      <c r="G201" s="641"/>
    </row>
    <row r="202" spans="1:7" ht="15" customHeight="1" x14ac:dyDescent="0.25">
      <c r="B202" s="1737" t="s">
        <v>1476</v>
      </c>
      <c r="C202" s="1738"/>
      <c r="D202" s="1081" t="str">
        <f>IFERROR(D203/'Regulação do clima global'!J9*'Regulação do clima global'!J19,"")</f>
        <v/>
      </c>
      <c r="E202" s="642" t="s">
        <v>1136</v>
      </c>
      <c r="F202" s="641"/>
      <c r="G202" s="1063"/>
    </row>
    <row r="203" spans="1:7" ht="33.75" customHeight="1" x14ac:dyDescent="0.25">
      <c r="B203" s="1733" t="s">
        <v>1466</v>
      </c>
      <c r="C203" s="1734"/>
      <c r="D203" s="1150" t="str">
        <f>IFERROR(((((Areaplantiototal*($D$200-'Apoio_Regulação do clima global'!$D$195)+('Regulação do clima global'!$J$11*($D$200-'Apoio_Regulação do clima global'!$D$197)+('Regulação do clima global'!$J$12*($D$200-'Apoio_Regulação do clima global'!$D$198)+('Regulação do clima global'!$J$13*($D$200-'Apoio_Regulação do clima global'!$D$199)))*(1-'Apoio_Regulação do clima global'!$D$201)))))),"")</f>
        <v/>
      </c>
      <c r="E203" s="1151" t="s">
        <v>1333</v>
      </c>
      <c r="F203" s="641"/>
      <c r="G203" s="641"/>
    </row>
    <row r="205" spans="1:7" x14ac:dyDescent="0.25">
      <c r="B205" s="389" t="s">
        <v>1336</v>
      </c>
    </row>
    <row r="207" spans="1:7" ht="15" customHeight="1" x14ac:dyDescent="0.25">
      <c r="B207" s="1739" t="s">
        <v>1486</v>
      </c>
      <c r="C207" s="1740"/>
      <c r="D207" s="1152" t="str">
        <f>IF('Regulação do clima global'!J73&gt;0,'Regulação do clima global'!J73,'Regulação do clima global'!J74)</f>
        <v/>
      </c>
      <c r="E207" s="1153" t="s">
        <v>1487</v>
      </c>
      <c r="F207" s="654"/>
      <c r="G207" s="654"/>
    </row>
    <row r="208" spans="1:7" ht="15" customHeight="1" x14ac:dyDescent="0.25">
      <c r="B208" s="1739" t="s">
        <v>1488</v>
      </c>
      <c r="C208" s="1740"/>
      <c r="D208" s="1154" t="str">
        <f>IF('Regulação do clima global'!J82&gt;0,'Regulação do clima global'!J82,'Regulação do clima global'!J83)</f>
        <v/>
      </c>
      <c r="E208" s="1153" t="s">
        <v>1487</v>
      </c>
      <c r="F208" s="654"/>
      <c r="G208" s="654"/>
    </row>
  </sheetData>
  <sheetProtection sheet="1" objects="1" scenarios="1" selectLockedCells="1" selectUnlockedCells="1"/>
  <mergeCells count="15">
    <mergeCell ref="B207:C207"/>
    <mergeCell ref="B208:C208"/>
    <mergeCell ref="E21:F21"/>
    <mergeCell ref="E22:F22"/>
    <mergeCell ref="E23:F23"/>
    <mergeCell ref="B1:L1"/>
    <mergeCell ref="B203:C203"/>
    <mergeCell ref="B194:C194"/>
    <mergeCell ref="B195:C195"/>
    <mergeCell ref="B196:C196"/>
    <mergeCell ref="B197:C197"/>
    <mergeCell ref="B198:C198"/>
    <mergeCell ref="B199:C199"/>
    <mergeCell ref="B201:C201"/>
    <mergeCell ref="B202:C202"/>
  </mergeCell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6F6F6E"/>
  </sheetPr>
  <dimension ref="B1:AQ31"/>
  <sheetViews>
    <sheetView showGridLines="0" zoomScale="85" zoomScaleNormal="85" zoomScalePageLayoutView="85" workbookViewId="0">
      <selection activeCell="C10" sqref="C10"/>
    </sheetView>
  </sheetViews>
  <sheetFormatPr defaultColWidth="8.85546875" defaultRowHeight="12.75" x14ac:dyDescent="0.2"/>
  <cols>
    <col min="1" max="1" width="8.85546875" style="116"/>
    <col min="2" max="2" width="26.140625" style="116" customWidth="1"/>
    <col min="3" max="3" width="11.7109375" style="116" customWidth="1"/>
    <col min="4" max="4" width="17.140625" style="116" customWidth="1"/>
    <col min="5" max="5" width="16.42578125" style="116" customWidth="1"/>
    <col min="6" max="43" width="10.7109375" style="116" customWidth="1"/>
    <col min="44" max="257" width="8.85546875" style="116"/>
    <col min="258" max="258" width="26.140625" style="116" customWidth="1"/>
    <col min="259" max="259" width="11.7109375" style="116" customWidth="1"/>
    <col min="260" max="260" width="36.42578125" style="116" customWidth="1"/>
    <col min="261" max="261" width="16.42578125" style="116" customWidth="1"/>
    <col min="262" max="299" width="10.7109375" style="116" customWidth="1"/>
    <col min="300" max="513" width="8.85546875" style="116"/>
    <col min="514" max="514" width="26.140625" style="116" customWidth="1"/>
    <col min="515" max="515" width="11.7109375" style="116" customWidth="1"/>
    <col min="516" max="516" width="36.42578125" style="116" customWidth="1"/>
    <col min="517" max="517" width="16.42578125" style="116" customWidth="1"/>
    <col min="518" max="555" width="10.7109375" style="116" customWidth="1"/>
    <col min="556" max="769" width="8.85546875" style="116"/>
    <col min="770" max="770" width="26.140625" style="116" customWidth="1"/>
    <col min="771" max="771" width="11.7109375" style="116" customWidth="1"/>
    <col min="772" max="772" width="36.42578125" style="116" customWidth="1"/>
    <col min="773" max="773" width="16.42578125" style="116" customWidth="1"/>
    <col min="774" max="811" width="10.7109375" style="116" customWidth="1"/>
    <col min="812" max="1025" width="8.85546875" style="116"/>
    <col min="1026" max="1026" width="26.140625" style="116" customWidth="1"/>
    <col min="1027" max="1027" width="11.7109375" style="116" customWidth="1"/>
    <col min="1028" max="1028" width="36.42578125" style="116" customWidth="1"/>
    <col min="1029" max="1029" width="16.42578125" style="116" customWidth="1"/>
    <col min="1030" max="1067" width="10.7109375" style="116" customWidth="1"/>
    <col min="1068" max="1281" width="8.85546875" style="116"/>
    <col min="1282" max="1282" width="26.140625" style="116" customWidth="1"/>
    <col min="1283" max="1283" width="11.7109375" style="116" customWidth="1"/>
    <col min="1284" max="1284" width="36.42578125" style="116" customWidth="1"/>
    <col min="1285" max="1285" width="16.42578125" style="116" customWidth="1"/>
    <col min="1286" max="1323" width="10.7109375" style="116" customWidth="1"/>
    <col min="1324" max="1537" width="8.85546875" style="116"/>
    <col min="1538" max="1538" width="26.140625" style="116" customWidth="1"/>
    <col min="1539" max="1539" width="11.7109375" style="116" customWidth="1"/>
    <col min="1540" max="1540" width="36.42578125" style="116" customWidth="1"/>
    <col min="1541" max="1541" width="16.42578125" style="116" customWidth="1"/>
    <col min="1542" max="1579" width="10.7109375" style="116" customWidth="1"/>
    <col min="1580" max="1793" width="8.85546875" style="116"/>
    <col min="1794" max="1794" width="26.140625" style="116" customWidth="1"/>
    <col min="1795" max="1795" width="11.7109375" style="116" customWidth="1"/>
    <col min="1796" max="1796" width="36.42578125" style="116" customWidth="1"/>
    <col min="1797" max="1797" width="16.42578125" style="116" customWidth="1"/>
    <col min="1798" max="1835" width="10.7109375" style="116" customWidth="1"/>
    <col min="1836" max="2049" width="8.85546875" style="116"/>
    <col min="2050" max="2050" width="26.140625" style="116" customWidth="1"/>
    <col min="2051" max="2051" width="11.7109375" style="116" customWidth="1"/>
    <col min="2052" max="2052" width="36.42578125" style="116" customWidth="1"/>
    <col min="2053" max="2053" width="16.42578125" style="116" customWidth="1"/>
    <col min="2054" max="2091" width="10.7109375" style="116" customWidth="1"/>
    <col min="2092" max="2305" width="8.85546875" style="116"/>
    <col min="2306" max="2306" width="26.140625" style="116" customWidth="1"/>
    <col min="2307" max="2307" width="11.7109375" style="116" customWidth="1"/>
    <col min="2308" max="2308" width="36.42578125" style="116" customWidth="1"/>
    <col min="2309" max="2309" width="16.42578125" style="116" customWidth="1"/>
    <col min="2310" max="2347" width="10.7109375" style="116" customWidth="1"/>
    <col min="2348" max="2561" width="8.85546875" style="116"/>
    <col min="2562" max="2562" width="26.140625" style="116" customWidth="1"/>
    <col min="2563" max="2563" width="11.7109375" style="116" customWidth="1"/>
    <col min="2564" max="2564" width="36.42578125" style="116" customWidth="1"/>
    <col min="2565" max="2565" width="16.42578125" style="116" customWidth="1"/>
    <col min="2566" max="2603" width="10.7109375" style="116" customWidth="1"/>
    <col min="2604" max="2817" width="8.85546875" style="116"/>
    <col min="2818" max="2818" width="26.140625" style="116" customWidth="1"/>
    <col min="2819" max="2819" width="11.7109375" style="116" customWidth="1"/>
    <col min="2820" max="2820" width="36.42578125" style="116" customWidth="1"/>
    <col min="2821" max="2821" width="16.42578125" style="116" customWidth="1"/>
    <col min="2822" max="2859" width="10.7109375" style="116" customWidth="1"/>
    <col min="2860" max="3073" width="8.85546875" style="116"/>
    <col min="3074" max="3074" width="26.140625" style="116" customWidth="1"/>
    <col min="3075" max="3075" width="11.7109375" style="116" customWidth="1"/>
    <col min="3076" max="3076" width="36.42578125" style="116" customWidth="1"/>
    <col min="3077" max="3077" width="16.42578125" style="116" customWidth="1"/>
    <col min="3078" max="3115" width="10.7109375" style="116" customWidth="1"/>
    <col min="3116" max="3329" width="8.85546875" style="116"/>
    <col min="3330" max="3330" width="26.140625" style="116" customWidth="1"/>
    <col min="3331" max="3331" width="11.7109375" style="116" customWidth="1"/>
    <col min="3332" max="3332" width="36.42578125" style="116" customWidth="1"/>
    <col min="3333" max="3333" width="16.42578125" style="116" customWidth="1"/>
    <col min="3334" max="3371" width="10.7109375" style="116" customWidth="1"/>
    <col min="3372" max="3585" width="8.85546875" style="116"/>
    <col min="3586" max="3586" width="26.140625" style="116" customWidth="1"/>
    <col min="3587" max="3587" width="11.7109375" style="116" customWidth="1"/>
    <col min="3588" max="3588" width="36.42578125" style="116" customWidth="1"/>
    <col min="3589" max="3589" width="16.42578125" style="116" customWidth="1"/>
    <col min="3590" max="3627" width="10.7109375" style="116" customWidth="1"/>
    <col min="3628" max="3841" width="8.85546875" style="116"/>
    <col min="3842" max="3842" width="26.140625" style="116" customWidth="1"/>
    <col min="3843" max="3843" width="11.7109375" style="116" customWidth="1"/>
    <col min="3844" max="3844" width="36.42578125" style="116" customWidth="1"/>
    <col min="3845" max="3845" width="16.42578125" style="116" customWidth="1"/>
    <col min="3846" max="3883" width="10.7109375" style="116" customWidth="1"/>
    <col min="3884" max="4097" width="8.85546875" style="116"/>
    <col min="4098" max="4098" width="26.140625" style="116" customWidth="1"/>
    <col min="4099" max="4099" width="11.7109375" style="116" customWidth="1"/>
    <col min="4100" max="4100" width="36.42578125" style="116" customWidth="1"/>
    <col min="4101" max="4101" width="16.42578125" style="116" customWidth="1"/>
    <col min="4102" max="4139" width="10.7109375" style="116" customWidth="1"/>
    <col min="4140" max="4353" width="8.85546875" style="116"/>
    <col min="4354" max="4354" width="26.140625" style="116" customWidth="1"/>
    <col min="4355" max="4355" width="11.7109375" style="116" customWidth="1"/>
    <col min="4356" max="4356" width="36.42578125" style="116" customWidth="1"/>
    <col min="4357" max="4357" width="16.42578125" style="116" customWidth="1"/>
    <col min="4358" max="4395" width="10.7109375" style="116" customWidth="1"/>
    <col min="4396" max="4609" width="8.85546875" style="116"/>
    <col min="4610" max="4610" width="26.140625" style="116" customWidth="1"/>
    <col min="4611" max="4611" width="11.7109375" style="116" customWidth="1"/>
    <col min="4612" max="4612" width="36.42578125" style="116" customWidth="1"/>
    <col min="4613" max="4613" width="16.42578125" style="116" customWidth="1"/>
    <col min="4614" max="4651" width="10.7109375" style="116" customWidth="1"/>
    <col min="4652" max="4865" width="8.85546875" style="116"/>
    <col min="4866" max="4866" width="26.140625" style="116" customWidth="1"/>
    <col min="4867" max="4867" width="11.7109375" style="116" customWidth="1"/>
    <col min="4868" max="4868" width="36.42578125" style="116" customWidth="1"/>
    <col min="4869" max="4869" width="16.42578125" style="116" customWidth="1"/>
    <col min="4870" max="4907" width="10.7109375" style="116" customWidth="1"/>
    <col min="4908" max="5121" width="8.85546875" style="116"/>
    <col min="5122" max="5122" width="26.140625" style="116" customWidth="1"/>
    <col min="5123" max="5123" width="11.7109375" style="116" customWidth="1"/>
    <col min="5124" max="5124" width="36.42578125" style="116" customWidth="1"/>
    <col min="5125" max="5125" width="16.42578125" style="116" customWidth="1"/>
    <col min="5126" max="5163" width="10.7109375" style="116" customWidth="1"/>
    <col min="5164" max="5377" width="8.85546875" style="116"/>
    <col min="5378" max="5378" width="26.140625" style="116" customWidth="1"/>
    <col min="5379" max="5379" width="11.7109375" style="116" customWidth="1"/>
    <col min="5380" max="5380" width="36.42578125" style="116" customWidth="1"/>
    <col min="5381" max="5381" width="16.42578125" style="116" customWidth="1"/>
    <col min="5382" max="5419" width="10.7109375" style="116" customWidth="1"/>
    <col min="5420" max="5633" width="8.85546875" style="116"/>
    <col min="5634" max="5634" width="26.140625" style="116" customWidth="1"/>
    <col min="5635" max="5635" width="11.7109375" style="116" customWidth="1"/>
    <col min="5636" max="5636" width="36.42578125" style="116" customWidth="1"/>
    <col min="5637" max="5637" width="16.42578125" style="116" customWidth="1"/>
    <col min="5638" max="5675" width="10.7109375" style="116" customWidth="1"/>
    <col min="5676" max="5889" width="8.85546875" style="116"/>
    <col min="5890" max="5890" width="26.140625" style="116" customWidth="1"/>
    <col min="5891" max="5891" width="11.7109375" style="116" customWidth="1"/>
    <col min="5892" max="5892" width="36.42578125" style="116" customWidth="1"/>
    <col min="5893" max="5893" width="16.42578125" style="116" customWidth="1"/>
    <col min="5894" max="5931" width="10.7109375" style="116" customWidth="1"/>
    <col min="5932" max="6145" width="8.85546875" style="116"/>
    <col min="6146" max="6146" width="26.140625" style="116" customWidth="1"/>
    <col min="6147" max="6147" width="11.7109375" style="116" customWidth="1"/>
    <col min="6148" max="6148" width="36.42578125" style="116" customWidth="1"/>
    <col min="6149" max="6149" width="16.42578125" style="116" customWidth="1"/>
    <col min="6150" max="6187" width="10.7109375" style="116" customWidth="1"/>
    <col min="6188" max="6401" width="8.85546875" style="116"/>
    <col min="6402" max="6402" width="26.140625" style="116" customWidth="1"/>
    <col min="6403" max="6403" width="11.7109375" style="116" customWidth="1"/>
    <col min="6404" max="6404" width="36.42578125" style="116" customWidth="1"/>
    <col min="6405" max="6405" width="16.42578125" style="116" customWidth="1"/>
    <col min="6406" max="6443" width="10.7109375" style="116" customWidth="1"/>
    <col min="6444" max="6657" width="8.85546875" style="116"/>
    <col min="6658" max="6658" width="26.140625" style="116" customWidth="1"/>
    <col min="6659" max="6659" width="11.7109375" style="116" customWidth="1"/>
    <col min="6660" max="6660" width="36.42578125" style="116" customWidth="1"/>
    <col min="6661" max="6661" width="16.42578125" style="116" customWidth="1"/>
    <col min="6662" max="6699" width="10.7109375" style="116" customWidth="1"/>
    <col min="6700" max="6913" width="8.85546875" style="116"/>
    <col min="6914" max="6914" width="26.140625" style="116" customWidth="1"/>
    <col min="6915" max="6915" width="11.7109375" style="116" customWidth="1"/>
    <col min="6916" max="6916" width="36.42578125" style="116" customWidth="1"/>
    <col min="6917" max="6917" width="16.42578125" style="116" customWidth="1"/>
    <col min="6918" max="6955" width="10.7109375" style="116" customWidth="1"/>
    <col min="6956" max="7169" width="8.85546875" style="116"/>
    <col min="7170" max="7170" width="26.140625" style="116" customWidth="1"/>
    <col min="7171" max="7171" width="11.7109375" style="116" customWidth="1"/>
    <col min="7172" max="7172" width="36.42578125" style="116" customWidth="1"/>
    <col min="7173" max="7173" width="16.42578125" style="116" customWidth="1"/>
    <col min="7174" max="7211" width="10.7109375" style="116" customWidth="1"/>
    <col min="7212" max="7425" width="8.85546875" style="116"/>
    <col min="7426" max="7426" width="26.140625" style="116" customWidth="1"/>
    <col min="7427" max="7427" width="11.7109375" style="116" customWidth="1"/>
    <col min="7428" max="7428" width="36.42578125" style="116" customWidth="1"/>
    <col min="7429" max="7429" width="16.42578125" style="116" customWidth="1"/>
    <col min="7430" max="7467" width="10.7109375" style="116" customWidth="1"/>
    <col min="7468" max="7681" width="8.85546875" style="116"/>
    <col min="7682" max="7682" width="26.140625" style="116" customWidth="1"/>
    <col min="7683" max="7683" width="11.7109375" style="116" customWidth="1"/>
    <col min="7684" max="7684" width="36.42578125" style="116" customWidth="1"/>
    <col min="7685" max="7685" width="16.42578125" style="116" customWidth="1"/>
    <col min="7686" max="7723" width="10.7109375" style="116" customWidth="1"/>
    <col min="7724" max="7937" width="8.85546875" style="116"/>
    <col min="7938" max="7938" width="26.140625" style="116" customWidth="1"/>
    <col min="7939" max="7939" width="11.7109375" style="116" customWidth="1"/>
    <col min="7940" max="7940" width="36.42578125" style="116" customWidth="1"/>
    <col min="7941" max="7941" width="16.42578125" style="116" customWidth="1"/>
    <col min="7942" max="7979" width="10.7109375" style="116" customWidth="1"/>
    <col min="7980" max="8193" width="8.85546875" style="116"/>
    <col min="8194" max="8194" width="26.140625" style="116" customWidth="1"/>
    <col min="8195" max="8195" width="11.7109375" style="116" customWidth="1"/>
    <col min="8196" max="8196" width="36.42578125" style="116" customWidth="1"/>
    <col min="8197" max="8197" width="16.42578125" style="116" customWidth="1"/>
    <col min="8198" max="8235" width="10.7109375" style="116" customWidth="1"/>
    <col min="8236" max="8449" width="8.85546875" style="116"/>
    <col min="8450" max="8450" width="26.140625" style="116" customWidth="1"/>
    <col min="8451" max="8451" width="11.7109375" style="116" customWidth="1"/>
    <col min="8452" max="8452" width="36.42578125" style="116" customWidth="1"/>
    <col min="8453" max="8453" width="16.42578125" style="116" customWidth="1"/>
    <col min="8454" max="8491" width="10.7109375" style="116" customWidth="1"/>
    <col min="8492" max="8705" width="8.85546875" style="116"/>
    <col min="8706" max="8706" width="26.140625" style="116" customWidth="1"/>
    <col min="8707" max="8707" width="11.7109375" style="116" customWidth="1"/>
    <col min="8708" max="8708" width="36.42578125" style="116" customWidth="1"/>
    <col min="8709" max="8709" width="16.42578125" style="116" customWidth="1"/>
    <col min="8710" max="8747" width="10.7109375" style="116" customWidth="1"/>
    <col min="8748" max="8961" width="8.85546875" style="116"/>
    <col min="8962" max="8962" width="26.140625" style="116" customWidth="1"/>
    <col min="8963" max="8963" width="11.7109375" style="116" customWidth="1"/>
    <col min="8964" max="8964" width="36.42578125" style="116" customWidth="1"/>
    <col min="8965" max="8965" width="16.42578125" style="116" customWidth="1"/>
    <col min="8966" max="9003" width="10.7109375" style="116" customWidth="1"/>
    <col min="9004" max="9217" width="8.85546875" style="116"/>
    <col min="9218" max="9218" width="26.140625" style="116" customWidth="1"/>
    <col min="9219" max="9219" width="11.7109375" style="116" customWidth="1"/>
    <col min="9220" max="9220" width="36.42578125" style="116" customWidth="1"/>
    <col min="9221" max="9221" width="16.42578125" style="116" customWidth="1"/>
    <col min="9222" max="9259" width="10.7109375" style="116" customWidth="1"/>
    <col min="9260" max="9473" width="8.85546875" style="116"/>
    <col min="9474" max="9474" width="26.140625" style="116" customWidth="1"/>
    <col min="9475" max="9475" width="11.7109375" style="116" customWidth="1"/>
    <col min="9476" max="9476" width="36.42578125" style="116" customWidth="1"/>
    <col min="9477" max="9477" width="16.42578125" style="116" customWidth="1"/>
    <col min="9478" max="9515" width="10.7109375" style="116" customWidth="1"/>
    <col min="9516" max="9729" width="8.85546875" style="116"/>
    <col min="9730" max="9730" width="26.140625" style="116" customWidth="1"/>
    <col min="9731" max="9731" width="11.7109375" style="116" customWidth="1"/>
    <col min="9732" max="9732" width="36.42578125" style="116" customWidth="1"/>
    <col min="9733" max="9733" width="16.42578125" style="116" customWidth="1"/>
    <col min="9734" max="9771" width="10.7109375" style="116" customWidth="1"/>
    <col min="9772" max="9985" width="8.85546875" style="116"/>
    <col min="9986" max="9986" width="26.140625" style="116" customWidth="1"/>
    <col min="9987" max="9987" width="11.7109375" style="116" customWidth="1"/>
    <col min="9988" max="9988" width="36.42578125" style="116" customWidth="1"/>
    <col min="9989" max="9989" width="16.42578125" style="116" customWidth="1"/>
    <col min="9990" max="10027" width="10.7109375" style="116" customWidth="1"/>
    <col min="10028" max="10241" width="8.85546875" style="116"/>
    <col min="10242" max="10242" width="26.140625" style="116" customWidth="1"/>
    <col min="10243" max="10243" width="11.7109375" style="116" customWidth="1"/>
    <col min="10244" max="10244" width="36.42578125" style="116" customWidth="1"/>
    <col min="10245" max="10245" width="16.42578125" style="116" customWidth="1"/>
    <col min="10246" max="10283" width="10.7109375" style="116" customWidth="1"/>
    <col min="10284" max="10497" width="8.85546875" style="116"/>
    <col min="10498" max="10498" width="26.140625" style="116" customWidth="1"/>
    <col min="10499" max="10499" width="11.7109375" style="116" customWidth="1"/>
    <col min="10500" max="10500" width="36.42578125" style="116" customWidth="1"/>
    <col min="10501" max="10501" width="16.42578125" style="116" customWidth="1"/>
    <col min="10502" max="10539" width="10.7109375" style="116" customWidth="1"/>
    <col min="10540" max="10753" width="8.85546875" style="116"/>
    <col min="10754" max="10754" width="26.140625" style="116" customWidth="1"/>
    <col min="10755" max="10755" width="11.7109375" style="116" customWidth="1"/>
    <col min="10756" max="10756" width="36.42578125" style="116" customWidth="1"/>
    <col min="10757" max="10757" width="16.42578125" style="116" customWidth="1"/>
    <col min="10758" max="10795" width="10.7109375" style="116" customWidth="1"/>
    <col min="10796" max="11009" width="8.85546875" style="116"/>
    <col min="11010" max="11010" width="26.140625" style="116" customWidth="1"/>
    <col min="11011" max="11011" width="11.7109375" style="116" customWidth="1"/>
    <col min="11012" max="11012" width="36.42578125" style="116" customWidth="1"/>
    <col min="11013" max="11013" width="16.42578125" style="116" customWidth="1"/>
    <col min="11014" max="11051" width="10.7109375" style="116" customWidth="1"/>
    <col min="11052" max="11265" width="8.85546875" style="116"/>
    <col min="11266" max="11266" width="26.140625" style="116" customWidth="1"/>
    <col min="11267" max="11267" width="11.7109375" style="116" customWidth="1"/>
    <col min="11268" max="11268" width="36.42578125" style="116" customWidth="1"/>
    <col min="11269" max="11269" width="16.42578125" style="116" customWidth="1"/>
    <col min="11270" max="11307" width="10.7109375" style="116" customWidth="1"/>
    <col min="11308" max="11521" width="8.85546875" style="116"/>
    <col min="11522" max="11522" width="26.140625" style="116" customWidth="1"/>
    <col min="11523" max="11523" width="11.7109375" style="116" customWidth="1"/>
    <col min="11524" max="11524" width="36.42578125" style="116" customWidth="1"/>
    <col min="11525" max="11525" width="16.42578125" style="116" customWidth="1"/>
    <col min="11526" max="11563" width="10.7109375" style="116" customWidth="1"/>
    <col min="11564" max="11777" width="8.85546875" style="116"/>
    <col min="11778" max="11778" width="26.140625" style="116" customWidth="1"/>
    <col min="11779" max="11779" width="11.7109375" style="116" customWidth="1"/>
    <col min="11780" max="11780" width="36.42578125" style="116" customWidth="1"/>
    <col min="11781" max="11781" width="16.42578125" style="116" customWidth="1"/>
    <col min="11782" max="11819" width="10.7109375" style="116" customWidth="1"/>
    <col min="11820" max="12033" width="8.85546875" style="116"/>
    <col min="12034" max="12034" width="26.140625" style="116" customWidth="1"/>
    <col min="12035" max="12035" width="11.7109375" style="116" customWidth="1"/>
    <col min="12036" max="12036" width="36.42578125" style="116" customWidth="1"/>
    <col min="12037" max="12037" width="16.42578125" style="116" customWidth="1"/>
    <col min="12038" max="12075" width="10.7109375" style="116" customWidth="1"/>
    <col min="12076" max="12289" width="8.85546875" style="116"/>
    <col min="12290" max="12290" width="26.140625" style="116" customWidth="1"/>
    <col min="12291" max="12291" width="11.7109375" style="116" customWidth="1"/>
    <col min="12292" max="12292" width="36.42578125" style="116" customWidth="1"/>
    <col min="12293" max="12293" width="16.42578125" style="116" customWidth="1"/>
    <col min="12294" max="12331" width="10.7109375" style="116" customWidth="1"/>
    <col min="12332" max="12545" width="8.85546875" style="116"/>
    <col min="12546" max="12546" width="26.140625" style="116" customWidth="1"/>
    <col min="12547" max="12547" width="11.7109375" style="116" customWidth="1"/>
    <col min="12548" max="12548" width="36.42578125" style="116" customWidth="1"/>
    <col min="12549" max="12549" width="16.42578125" style="116" customWidth="1"/>
    <col min="12550" max="12587" width="10.7109375" style="116" customWidth="1"/>
    <col min="12588" max="12801" width="8.85546875" style="116"/>
    <col min="12802" max="12802" width="26.140625" style="116" customWidth="1"/>
    <col min="12803" max="12803" width="11.7109375" style="116" customWidth="1"/>
    <col min="12804" max="12804" width="36.42578125" style="116" customWidth="1"/>
    <col min="12805" max="12805" width="16.42578125" style="116" customWidth="1"/>
    <col min="12806" max="12843" width="10.7109375" style="116" customWidth="1"/>
    <col min="12844" max="13057" width="8.85546875" style="116"/>
    <col min="13058" max="13058" width="26.140625" style="116" customWidth="1"/>
    <col min="13059" max="13059" width="11.7109375" style="116" customWidth="1"/>
    <col min="13060" max="13060" width="36.42578125" style="116" customWidth="1"/>
    <col min="13061" max="13061" width="16.42578125" style="116" customWidth="1"/>
    <col min="13062" max="13099" width="10.7109375" style="116" customWidth="1"/>
    <col min="13100" max="13313" width="8.85546875" style="116"/>
    <col min="13314" max="13314" width="26.140625" style="116" customWidth="1"/>
    <col min="13315" max="13315" width="11.7109375" style="116" customWidth="1"/>
    <col min="13316" max="13316" width="36.42578125" style="116" customWidth="1"/>
    <col min="13317" max="13317" width="16.42578125" style="116" customWidth="1"/>
    <col min="13318" max="13355" width="10.7109375" style="116" customWidth="1"/>
    <col min="13356" max="13569" width="8.85546875" style="116"/>
    <col min="13570" max="13570" width="26.140625" style="116" customWidth="1"/>
    <col min="13571" max="13571" width="11.7109375" style="116" customWidth="1"/>
    <col min="13572" max="13572" width="36.42578125" style="116" customWidth="1"/>
    <col min="13573" max="13573" width="16.42578125" style="116" customWidth="1"/>
    <col min="13574" max="13611" width="10.7109375" style="116" customWidth="1"/>
    <col min="13612" max="13825" width="8.85546875" style="116"/>
    <col min="13826" max="13826" width="26.140625" style="116" customWidth="1"/>
    <col min="13827" max="13827" width="11.7109375" style="116" customWidth="1"/>
    <col min="13828" max="13828" width="36.42578125" style="116" customWidth="1"/>
    <col min="13829" max="13829" width="16.42578125" style="116" customWidth="1"/>
    <col min="13830" max="13867" width="10.7109375" style="116" customWidth="1"/>
    <col min="13868" max="14081" width="8.85546875" style="116"/>
    <col min="14082" max="14082" width="26.140625" style="116" customWidth="1"/>
    <col min="14083" max="14083" width="11.7109375" style="116" customWidth="1"/>
    <col min="14084" max="14084" width="36.42578125" style="116" customWidth="1"/>
    <col min="14085" max="14085" width="16.42578125" style="116" customWidth="1"/>
    <col min="14086" max="14123" width="10.7109375" style="116" customWidth="1"/>
    <col min="14124" max="14337" width="8.85546875" style="116"/>
    <col min="14338" max="14338" width="26.140625" style="116" customWidth="1"/>
    <col min="14339" max="14339" width="11.7109375" style="116" customWidth="1"/>
    <col min="14340" max="14340" width="36.42578125" style="116" customWidth="1"/>
    <col min="14341" max="14341" width="16.42578125" style="116" customWidth="1"/>
    <col min="14342" max="14379" width="10.7109375" style="116" customWidth="1"/>
    <col min="14380" max="14593" width="8.85546875" style="116"/>
    <col min="14594" max="14594" width="26.140625" style="116" customWidth="1"/>
    <col min="14595" max="14595" width="11.7109375" style="116" customWidth="1"/>
    <col min="14596" max="14596" width="36.42578125" style="116" customWidth="1"/>
    <col min="14597" max="14597" width="16.42578125" style="116" customWidth="1"/>
    <col min="14598" max="14635" width="10.7109375" style="116" customWidth="1"/>
    <col min="14636" max="14849" width="8.85546875" style="116"/>
    <col min="14850" max="14850" width="26.140625" style="116" customWidth="1"/>
    <col min="14851" max="14851" width="11.7109375" style="116" customWidth="1"/>
    <col min="14852" max="14852" width="36.42578125" style="116" customWidth="1"/>
    <col min="14853" max="14853" width="16.42578125" style="116" customWidth="1"/>
    <col min="14854" max="14891" width="10.7109375" style="116" customWidth="1"/>
    <col min="14892" max="15105" width="8.85546875" style="116"/>
    <col min="15106" max="15106" width="26.140625" style="116" customWidth="1"/>
    <col min="15107" max="15107" width="11.7109375" style="116" customWidth="1"/>
    <col min="15108" max="15108" width="36.42578125" style="116" customWidth="1"/>
    <col min="15109" max="15109" width="16.42578125" style="116" customWidth="1"/>
    <col min="15110" max="15147" width="10.7109375" style="116" customWidth="1"/>
    <col min="15148" max="15361" width="8.85546875" style="116"/>
    <col min="15362" max="15362" width="26.140625" style="116" customWidth="1"/>
    <col min="15363" max="15363" width="11.7109375" style="116" customWidth="1"/>
    <col min="15364" max="15364" width="36.42578125" style="116" customWidth="1"/>
    <col min="15365" max="15365" width="16.42578125" style="116" customWidth="1"/>
    <col min="15366" max="15403" width="10.7109375" style="116" customWidth="1"/>
    <col min="15404" max="15617" width="8.85546875" style="116"/>
    <col min="15618" max="15618" width="26.140625" style="116" customWidth="1"/>
    <col min="15619" max="15619" width="11.7109375" style="116" customWidth="1"/>
    <col min="15620" max="15620" width="36.42578125" style="116" customWidth="1"/>
    <col min="15621" max="15621" width="16.42578125" style="116" customWidth="1"/>
    <col min="15622" max="15659" width="10.7109375" style="116" customWidth="1"/>
    <col min="15660" max="15873" width="8.85546875" style="116"/>
    <col min="15874" max="15874" width="26.140625" style="116" customWidth="1"/>
    <col min="15875" max="15875" width="11.7109375" style="116" customWidth="1"/>
    <col min="15876" max="15876" width="36.42578125" style="116" customWidth="1"/>
    <col min="15877" max="15877" width="16.42578125" style="116" customWidth="1"/>
    <col min="15878" max="15915" width="10.7109375" style="116" customWidth="1"/>
    <col min="15916" max="16129" width="8.85546875" style="116"/>
    <col min="16130" max="16130" width="26.140625" style="116" customWidth="1"/>
    <col min="16131" max="16131" width="11.7109375" style="116" customWidth="1"/>
    <col min="16132" max="16132" width="36.42578125" style="116" customWidth="1"/>
    <col min="16133" max="16133" width="16.42578125" style="116" customWidth="1"/>
    <col min="16134" max="16171" width="10.7109375" style="116" customWidth="1"/>
    <col min="16172" max="16384" width="8.85546875" style="116"/>
  </cols>
  <sheetData>
    <row r="1" spans="2:43" ht="13.5" thickBot="1" x14ac:dyDescent="0.25"/>
    <row r="2" spans="2:43" x14ac:dyDescent="0.2">
      <c r="B2" s="1747" t="s">
        <v>696</v>
      </c>
      <c r="C2" s="1748"/>
      <c r="D2" s="1749"/>
      <c r="E2" s="117"/>
      <c r="F2" s="118"/>
      <c r="G2" s="118"/>
      <c r="H2" s="118"/>
      <c r="I2" s="118"/>
      <c r="J2" s="118"/>
      <c r="K2" s="118"/>
      <c r="L2" s="118"/>
      <c r="M2" s="119"/>
      <c r="N2" s="119"/>
      <c r="O2" s="119"/>
      <c r="P2" s="119"/>
      <c r="Q2" s="119"/>
      <c r="R2" s="119"/>
      <c r="S2" s="119"/>
      <c r="T2" s="119"/>
      <c r="U2" s="119"/>
      <c r="V2" s="119"/>
      <c r="W2" s="119"/>
      <c r="X2" s="119"/>
      <c r="Y2" s="119"/>
      <c r="Z2" s="119"/>
      <c r="AA2" s="119"/>
      <c r="AB2" s="119"/>
      <c r="AC2" s="119"/>
      <c r="AD2" s="119"/>
      <c r="AE2" s="119"/>
      <c r="AF2" s="119"/>
      <c r="AG2" s="119"/>
      <c r="AH2" s="119"/>
      <c r="AI2" s="119"/>
      <c r="AJ2" s="119"/>
      <c r="AK2" s="119"/>
      <c r="AL2" s="119"/>
      <c r="AM2" s="119"/>
      <c r="AN2" s="119"/>
      <c r="AO2" s="119"/>
      <c r="AP2" s="119"/>
      <c r="AQ2" s="119"/>
    </row>
    <row r="3" spans="2:43" ht="13.5" customHeight="1" x14ac:dyDescent="0.2">
      <c r="B3" s="120" t="s">
        <v>697</v>
      </c>
      <c r="C3" s="121" t="s">
        <v>504</v>
      </c>
      <c r="D3" s="122"/>
      <c r="E3" s="117"/>
      <c r="G3" s="118"/>
      <c r="H3" s="118"/>
      <c r="I3" s="118"/>
      <c r="J3" s="118"/>
      <c r="K3" s="118"/>
      <c r="L3" s="118"/>
      <c r="M3" s="119"/>
      <c r="N3" s="119"/>
      <c r="O3" s="119"/>
      <c r="P3" s="119"/>
      <c r="Q3" s="119"/>
      <c r="R3" s="119"/>
      <c r="S3" s="119"/>
      <c r="T3" s="119"/>
      <c r="U3" s="119"/>
      <c r="V3" s="119"/>
      <c r="W3" s="119"/>
      <c r="X3" s="119"/>
      <c r="Y3" s="119"/>
      <c r="Z3" s="119"/>
      <c r="AA3" s="119"/>
      <c r="AB3" s="119"/>
      <c r="AC3" s="119"/>
      <c r="AD3" s="119"/>
      <c r="AE3" s="119"/>
      <c r="AF3" s="119"/>
      <c r="AG3" s="119"/>
      <c r="AH3" s="119"/>
      <c r="AI3" s="119"/>
      <c r="AJ3" s="119"/>
      <c r="AK3" s="119"/>
      <c r="AL3" s="119"/>
      <c r="AM3" s="119"/>
      <c r="AN3" s="119"/>
      <c r="AO3" s="119"/>
      <c r="AP3" s="119"/>
      <c r="AQ3" s="119"/>
    </row>
    <row r="4" spans="2:43" ht="51" customHeight="1" x14ac:dyDescent="0.2">
      <c r="B4" s="123" t="s">
        <v>698</v>
      </c>
      <c r="C4" s="124">
        <f>'Regulação do clima global'!J70</f>
        <v>0</v>
      </c>
      <c r="D4" s="125"/>
      <c r="E4" s="117"/>
      <c r="G4" s="118"/>
      <c r="H4" s="118"/>
      <c r="I4" s="118"/>
      <c r="J4" s="118"/>
      <c r="K4" s="118"/>
      <c r="L4" s="118"/>
      <c r="M4" s="119"/>
      <c r="N4" s="119"/>
      <c r="O4" s="119"/>
      <c r="P4" s="119"/>
      <c r="Q4" s="119"/>
      <c r="R4" s="119"/>
      <c r="S4" s="119"/>
      <c r="T4" s="119"/>
      <c r="U4" s="119"/>
      <c r="V4" s="119"/>
      <c r="W4" s="119"/>
      <c r="X4" s="119"/>
      <c r="Y4" s="119"/>
      <c r="Z4" s="119"/>
      <c r="AA4" s="119"/>
      <c r="AB4" s="119"/>
      <c r="AC4" s="119"/>
      <c r="AD4" s="119"/>
      <c r="AE4" s="119"/>
      <c r="AF4" s="119"/>
      <c r="AG4" s="119"/>
      <c r="AH4" s="119"/>
      <c r="AI4" s="119"/>
      <c r="AJ4" s="119"/>
      <c r="AK4" s="119"/>
      <c r="AL4" s="119"/>
      <c r="AM4" s="119"/>
      <c r="AN4" s="119"/>
      <c r="AO4" s="119"/>
      <c r="AP4" s="119"/>
      <c r="AQ4" s="119"/>
    </row>
    <row r="5" spans="2:43" ht="51" customHeight="1" x14ac:dyDescent="0.2">
      <c r="B5" s="126" t="s">
        <v>699</v>
      </c>
      <c r="C5" s="127">
        <f>'Regulação do clima global'!J71</f>
        <v>0</v>
      </c>
      <c r="D5" s="128"/>
      <c r="E5" s="117"/>
      <c r="G5" s="129"/>
      <c r="H5" s="129"/>
      <c r="I5" s="129"/>
      <c r="J5" s="129"/>
      <c r="K5" s="129"/>
      <c r="L5" s="129"/>
    </row>
    <row r="6" spans="2:43" ht="38.25" customHeight="1" x14ac:dyDescent="0.2">
      <c r="B6" s="130" t="s">
        <v>700</v>
      </c>
      <c r="C6" s="127">
        <f>'Regulação do clima global'!J72</f>
        <v>0</v>
      </c>
      <c r="D6" s="131"/>
      <c r="E6" s="117"/>
      <c r="G6" s="132"/>
      <c r="H6" s="133"/>
      <c r="I6" s="132"/>
      <c r="J6" s="132"/>
      <c r="K6" s="132"/>
      <c r="L6" s="129"/>
    </row>
    <row r="7" spans="2:43" ht="38.25" customHeight="1" x14ac:dyDescent="0.3">
      <c r="B7" s="126" t="s">
        <v>701</v>
      </c>
      <c r="C7" s="134" t="str">
        <f>IF('Regulação do clima global'!J73="",'Regulação do clima global'!J74,'Regulação do clima global'!J73)</f>
        <v/>
      </c>
      <c r="D7" s="128"/>
      <c r="E7" s="117"/>
      <c r="F7" s="135"/>
      <c r="H7" s="136"/>
      <c r="I7" s="136"/>
      <c r="J7" s="136"/>
      <c r="K7" s="137"/>
      <c r="L7" s="129"/>
    </row>
    <row r="8" spans="2:43" ht="38.25" customHeight="1" x14ac:dyDescent="0.3">
      <c r="B8" s="126" t="s">
        <v>702</v>
      </c>
      <c r="C8" s="134" t="str">
        <f>'Regulação do clima global'!J83</f>
        <v/>
      </c>
      <c r="D8" s="128"/>
      <c r="E8" s="117"/>
      <c r="F8" s="135"/>
      <c r="H8" s="136"/>
      <c r="I8" s="136"/>
      <c r="J8" s="136"/>
      <c r="K8" s="137"/>
      <c r="L8" s="129"/>
    </row>
    <row r="9" spans="2:43" ht="13.5" customHeight="1" x14ac:dyDescent="0.2">
      <c r="B9" s="126" t="s">
        <v>703</v>
      </c>
      <c r="C9" s="134">
        <f>'Regulação do clima global'!J69</f>
        <v>0</v>
      </c>
      <c r="D9" s="128"/>
      <c r="E9" s="117"/>
      <c r="F9" s="135"/>
      <c r="H9" s="136"/>
      <c r="I9" s="136"/>
      <c r="J9" s="136"/>
      <c r="K9" s="137"/>
      <c r="L9" s="129"/>
    </row>
    <row r="10" spans="2:43" ht="90.75" customHeight="1" thickBot="1" x14ac:dyDescent="0.3">
      <c r="B10" s="138" t="s">
        <v>704</v>
      </c>
      <c r="C10" s="139">
        <f>IF('Regulação do clima global'!J81="Selecione os critérios abaixo","",IF('Regulação do clima global'!J81="Bom",D30,IF('Regulação do clima global'!J81="Regular",FN3Aux!E30,F30)))</f>
        <v>0.4</v>
      </c>
      <c r="D10" s="140"/>
      <c r="E10" s="117"/>
      <c r="F10" s="135"/>
      <c r="H10" s="141"/>
      <c r="I10" s="136"/>
      <c r="J10" s="136"/>
      <c r="K10" s="129"/>
      <c r="L10" s="129"/>
    </row>
    <row r="11" spans="2:43" x14ac:dyDescent="0.2">
      <c r="B11" s="142"/>
    </row>
    <row r="12" spans="2:43" ht="13.5" thickBot="1" x14ac:dyDescent="0.25">
      <c r="B12" s="142"/>
    </row>
    <row r="13" spans="2:43" s="143" customFormat="1" ht="15.75" x14ac:dyDescent="0.25">
      <c r="B13" s="1750" t="s">
        <v>705</v>
      </c>
      <c r="C13" s="1751"/>
      <c r="D13" s="1751"/>
      <c r="E13" s="1751"/>
      <c r="F13" s="1751"/>
      <c r="G13" s="1751"/>
      <c r="H13" s="1751"/>
      <c r="I13" s="1751"/>
      <c r="J13" s="1751"/>
      <c r="K13" s="1751"/>
      <c r="L13" s="1751"/>
      <c r="M13" s="1751"/>
      <c r="N13" s="1751"/>
      <c r="O13" s="1751"/>
      <c r="P13" s="1751"/>
      <c r="Q13" s="1751"/>
      <c r="R13" s="1751"/>
      <c r="S13" s="1751"/>
      <c r="T13" s="1751"/>
      <c r="U13" s="1751"/>
      <c r="V13" s="1751"/>
      <c r="W13" s="1751"/>
      <c r="X13" s="1751"/>
      <c r="Y13" s="1751"/>
      <c r="Z13" s="1751"/>
      <c r="AA13" s="1751"/>
      <c r="AB13" s="1751"/>
      <c r="AC13" s="1751"/>
      <c r="AD13" s="1751"/>
      <c r="AE13" s="1751"/>
      <c r="AF13" s="1751"/>
      <c r="AG13" s="1751"/>
      <c r="AH13" s="1751"/>
      <c r="AI13" s="1751"/>
      <c r="AJ13" s="1751"/>
      <c r="AK13" s="1751"/>
      <c r="AL13" s="1751"/>
      <c r="AM13" s="1751"/>
      <c r="AN13" s="1751"/>
      <c r="AO13" s="1751"/>
      <c r="AP13" s="1751"/>
      <c r="AQ13" s="1752"/>
    </row>
    <row r="14" spans="2:43" x14ac:dyDescent="0.2">
      <c r="B14" s="144" t="s">
        <v>697</v>
      </c>
      <c r="C14" s="145">
        <v>0</v>
      </c>
      <c r="D14" s="145">
        <v>1</v>
      </c>
      <c r="E14" s="145">
        <v>2</v>
      </c>
      <c r="F14" s="145">
        <v>3</v>
      </c>
      <c r="G14" s="145">
        <v>4</v>
      </c>
      <c r="H14" s="145">
        <f t="shared" ref="H14:AQ14" si="0">G14+1</f>
        <v>5</v>
      </c>
      <c r="I14" s="145">
        <f t="shared" si="0"/>
        <v>6</v>
      </c>
      <c r="J14" s="145">
        <f t="shared" si="0"/>
        <v>7</v>
      </c>
      <c r="K14" s="145">
        <f t="shared" si="0"/>
        <v>8</v>
      </c>
      <c r="L14" s="145">
        <f t="shared" si="0"/>
        <v>9</v>
      </c>
      <c r="M14" s="145">
        <f t="shared" si="0"/>
        <v>10</v>
      </c>
      <c r="N14" s="145">
        <f t="shared" si="0"/>
        <v>11</v>
      </c>
      <c r="O14" s="145">
        <f t="shared" si="0"/>
        <v>12</v>
      </c>
      <c r="P14" s="145">
        <f t="shared" si="0"/>
        <v>13</v>
      </c>
      <c r="Q14" s="145">
        <f t="shared" si="0"/>
        <v>14</v>
      </c>
      <c r="R14" s="145">
        <f t="shared" si="0"/>
        <v>15</v>
      </c>
      <c r="S14" s="145">
        <f t="shared" si="0"/>
        <v>16</v>
      </c>
      <c r="T14" s="145">
        <f t="shared" si="0"/>
        <v>17</v>
      </c>
      <c r="U14" s="145">
        <f t="shared" si="0"/>
        <v>18</v>
      </c>
      <c r="V14" s="145">
        <f t="shared" si="0"/>
        <v>19</v>
      </c>
      <c r="W14" s="145">
        <f t="shared" si="0"/>
        <v>20</v>
      </c>
      <c r="X14" s="145">
        <f t="shared" si="0"/>
        <v>21</v>
      </c>
      <c r="Y14" s="145">
        <f t="shared" si="0"/>
        <v>22</v>
      </c>
      <c r="Z14" s="145">
        <f t="shared" si="0"/>
        <v>23</v>
      </c>
      <c r="AA14" s="145">
        <f t="shared" si="0"/>
        <v>24</v>
      </c>
      <c r="AB14" s="145">
        <f t="shared" si="0"/>
        <v>25</v>
      </c>
      <c r="AC14" s="145">
        <f t="shared" si="0"/>
        <v>26</v>
      </c>
      <c r="AD14" s="145">
        <f t="shared" si="0"/>
        <v>27</v>
      </c>
      <c r="AE14" s="145">
        <f t="shared" si="0"/>
        <v>28</v>
      </c>
      <c r="AF14" s="145">
        <f t="shared" si="0"/>
        <v>29</v>
      </c>
      <c r="AG14" s="145">
        <f t="shared" si="0"/>
        <v>30</v>
      </c>
      <c r="AH14" s="145">
        <f t="shared" si="0"/>
        <v>31</v>
      </c>
      <c r="AI14" s="145">
        <f t="shared" si="0"/>
        <v>32</v>
      </c>
      <c r="AJ14" s="145">
        <f t="shared" si="0"/>
        <v>33</v>
      </c>
      <c r="AK14" s="145">
        <f t="shared" si="0"/>
        <v>34</v>
      </c>
      <c r="AL14" s="145">
        <f t="shared" si="0"/>
        <v>35</v>
      </c>
      <c r="AM14" s="145">
        <f t="shared" si="0"/>
        <v>36</v>
      </c>
      <c r="AN14" s="145">
        <f t="shared" si="0"/>
        <v>37</v>
      </c>
      <c r="AO14" s="145">
        <f t="shared" si="0"/>
        <v>38</v>
      </c>
      <c r="AP14" s="145">
        <f t="shared" si="0"/>
        <v>39</v>
      </c>
      <c r="AQ14" s="145">
        <f t="shared" si="0"/>
        <v>40</v>
      </c>
    </row>
    <row r="15" spans="2:43" ht="39" x14ac:dyDescent="0.25">
      <c r="B15" s="146" t="s">
        <v>706</v>
      </c>
      <c r="C15" s="147">
        <f>C4</f>
        <v>0</v>
      </c>
      <c r="D15" s="148">
        <f t="shared" ref="D15:AQ15" si="1">C15-($C$5*C15)</f>
        <v>0</v>
      </c>
      <c r="E15" s="147">
        <f t="shared" si="1"/>
        <v>0</v>
      </c>
      <c r="F15" s="147">
        <f t="shared" si="1"/>
        <v>0</v>
      </c>
      <c r="G15" s="147">
        <f t="shared" si="1"/>
        <v>0</v>
      </c>
      <c r="H15" s="147">
        <f t="shared" si="1"/>
        <v>0</v>
      </c>
      <c r="I15" s="147">
        <f t="shared" si="1"/>
        <v>0</v>
      </c>
      <c r="J15" s="147">
        <f t="shared" si="1"/>
        <v>0</v>
      </c>
      <c r="K15" s="147">
        <f t="shared" si="1"/>
        <v>0</v>
      </c>
      <c r="L15" s="147">
        <f t="shared" si="1"/>
        <v>0</v>
      </c>
      <c r="M15" s="147">
        <f t="shared" si="1"/>
        <v>0</v>
      </c>
      <c r="N15" s="147">
        <f t="shared" si="1"/>
        <v>0</v>
      </c>
      <c r="O15" s="147">
        <f t="shared" si="1"/>
        <v>0</v>
      </c>
      <c r="P15" s="147">
        <f t="shared" si="1"/>
        <v>0</v>
      </c>
      <c r="Q15" s="147">
        <f t="shared" si="1"/>
        <v>0</v>
      </c>
      <c r="R15" s="147">
        <f t="shared" si="1"/>
        <v>0</v>
      </c>
      <c r="S15" s="147">
        <f t="shared" si="1"/>
        <v>0</v>
      </c>
      <c r="T15" s="147">
        <f t="shared" si="1"/>
        <v>0</v>
      </c>
      <c r="U15" s="147">
        <f t="shared" si="1"/>
        <v>0</v>
      </c>
      <c r="V15" s="147">
        <f t="shared" si="1"/>
        <v>0</v>
      </c>
      <c r="W15" s="147">
        <f t="shared" si="1"/>
        <v>0</v>
      </c>
      <c r="X15" s="147">
        <f t="shared" si="1"/>
        <v>0</v>
      </c>
      <c r="Y15" s="147">
        <f t="shared" si="1"/>
        <v>0</v>
      </c>
      <c r="Z15" s="147">
        <f t="shared" si="1"/>
        <v>0</v>
      </c>
      <c r="AA15" s="147">
        <f t="shared" si="1"/>
        <v>0</v>
      </c>
      <c r="AB15" s="147">
        <f t="shared" si="1"/>
        <v>0</v>
      </c>
      <c r="AC15" s="147">
        <f t="shared" si="1"/>
        <v>0</v>
      </c>
      <c r="AD15" s="147">
        <f t="shared" si="1"/>
        <v>0</v>
      </c>
      <c r="AE15" s="147">
        <f t="shared" si="1"/>
        <v>0</v>
      </c>
      <c r="AF15" s="147">
        <f t="shared" si="1"/>
        <v>0</v>
      </c>
      <c r="AG15" s="147">
        <f t="shared" si="1"/>
        <v>0</v>
      </c>
      <c r="AH15" s="147">
        <f t="shared" si="1"/>
        <v>0</v>
      </c>
      <c r="AI15" s="147">
        <f t="shared" si="1"/>
        <v>0</v>
      </c>
      <c r="AJ15" s="147">
        <f t="shared" si="1"/>
        <v>0</v>
      </c>
      <c r="AK15" s="147">
        <f t="shared" si="1"/>
        <v>0</v>
      </c>
      <c r="AL15" s="147">
        <f t="shared" si="1"/>
        <v>0</v>
      </c>
      <c r="AM15" s="147">
        <f t="shared" si="1"/>
        <v>0</v>
      </c>
      <c r="AN15" s="147">
        <f t="shared" si="1"/>
        <v>0</v>
      </c>
      <c r="AO15" s="147">
        <f t="shared" si="1"/>
        <v>0</v>
      </c>
      <c r="AP15" s="147">
        <f t="shared" si="1"/>
        <v>0</v>
      </c>
      <c r="AQ15" s="149">
        <f t="shared" si="1"/>
        <v>0</v>
      </c>
    </row>
    <row r="16" spans="2:43" ht="51.75" x14ac:dyDescent="0.25">
      <c r="B16" s="150" t="s">
        <v>707</v>
      </c>
      <c r="C16" s="147">
        <f>C4</f>
        <v>0</v>
      </c>
      <c r="D16" s="147">
        <f t="shared" ref="D16:AQ16" si="2">C16-($C$6*C16)</f>
        <v>0</v>
      </c>
      <c r="E16" s="147">
        <f t="shared" si="2"/>
        <v>0</v>
      </c>
      <c r="F16" s="147">
        <f t="shared" si="2"/>
        <v>0</v>
      </c>
      <c r="G16" s="147">
        <f t="shared" si="2"/>
        <v>0</v>
      </c>
      <c r="H16" s="147">
        <f t="shared" si="2"/>
        <v>0</v>
      </c>
      <c r="I16" s="147">
        <f t="shared" si="2"/>
        <v>0</v>
      </c>
      <c r="J16" s="147">
        <f t="shared" si="2"/>
        <v>0</v>
      </c>
      <c r="K16" s="147">
        <f t="shared" si="2"/>
        <v>0</v>
      </c>
      <c r="L16" s="147">
        <f t="shared" si="2"/>
        <v>0</v>
      </c>
      <c r="M16" s="147">
        <f t="shared" si="2"/>
        <v>0</v>
      </c>
      <c r="N16" s="147">
        <f t="shared" si="2"/>
        <v>0</v>
      </c>
      <c r="O16" s="147">
        <f t="shared" si="2"/>
        <v>0</v>
      </c>
      <c r="P16" s="147">
        <f t="shared" si="2"/>
        <v>0</v>
      </c>
      <c r="Q16" s="147">
        <f t="shared" si="2"/>
        <v>0</v>
      </c>
      <c r="R16" s="147">
        <f t="shared" si="2"/>
        <v>0</v>
      </c>
      <c r="S16" s="147">
        <f t="shared" si="2"/>
        <v>0</v>
      </c>
      <c r="T16" s="147">
        <f t="shared" si="2"/>
        <v>0</v>
      </c>
      <c r="U16" s="147">
        <f t="shared" si="2"/>
        <v>0</v>
      </c>
      <c r="V16" s="147">
        <f t="shared" si="2"/>
        <v>0</v>
      </c>
      <c r="W16" s="147">
        <f t="shared" si="2"/>
        <v>0</v>
      </c>
      <c r="X16" s="147">
        <f t="shared" si="2"/>
        <v>0</v>
      </c>
      <c r="Y16" s="147">
        <f t="shared" si="2"/>
        <v>0</v>
      </c>
      <c r="Z16" s="147">
        <f t="shared" si="2"/>
        <v>0</v>
      </c>
      <c r="AA16" s="147">
        <f t="shared" si="2"/>
        <v>0</v>
      </c>
      <c r="AB16" s="147">
        <f t="shared" si="2"/>
        <v>0</v>
      </c>
      <c r="AC16" s="147">
        <f t="shared" si="2"/>
        <v>0</v>
      </c>
      <c r="AD16" s="147">
        <f t="shared" si="2"/>
        <v>0</v>
      </c>
      <c r="AE16" s="147">
        <f t="shared" si="2"/>
        <v>0</v>
      </c>
      <c r="AF16" s="147">
        <f t="shared" si="2"/>
        <v>0</v>
      </c>
      <c r="AG16" s="147">
        <f t="shared" si="2"/>
        <v>0</v>
      </c>
      <c r="AH16" s="147">
        <f t="shared" si="2"/>
        <v>0</v>
      </c>
      <c r="AI16" s="147">
        <f t="shared" si="2"/>
        <v>0</v>
      </c>
      <c r="AJ16" s="147">
        <f t="shared" si="2"/>
        <v>0</v>
      </c>
      <c r="AK16" s="147">
        <f t="shared" si="2"/>
        <v>0</v>
      </c>
      <c r="AL16" s="147">
        <f t="shared" si="2"/>
        <v>0</v>
      </c>
      <c r="AM16" s="147">
        <f t="shared" si="2"/>
        <v>0</v>
      </c>
      <c r="AN16" s="147">
        <f t="shared" si="2"/>
        <v>0</v>
      </c>
      <c r="AO16" s="147">
        <f t="shared" si="2"/>
        <v>0</v>
      </c>
      <c r="AP16" s="147">
        <f t="shared" si="2"/>
        <v>0</v>
      </c>
      <c r="AQ16" s="149">
        <f t="shared" si="2"/>
        <v>0</v>
      </c>
    </row>
    <row r="17" spans="2:43" ht="38.25" x14ac:dyDescent="0.2">
      <c r="B17" s="150" t="s">
        <v>708</v>
      </c>
      <c r="C17" s="151">
        <f t="shared" ref="C17:AQ17" si="3">C16-C15</f>
        <v>0</v>
      </c>
      <c r="D17" s="151">
        <f t="shared" si="3"/>
        <v>0</v>
      </c>
      <c r="E17" s="151">
        <f t="shared" si="3"/>
        <v>0</v>
      </c>
      <c r="F17" s="151">
        <f t="shared" si="3"/>
        <v>0</v>
      </c>
      <c r="G17" s="151">
        <f t="shared" si="3"/>
        <v>0</v>
      </c>
      <c r="H17" s="151">
        <f t="shared" si="3"/>
        <v>0</v>
      </c>
      <c r="I17" s="151">
        <f t="shared" si="3"/>
        <v>0</v>
      </c>
      <c r="J17" s="151">
        <f t="shared" si="3"/>
        <v>0</v>
      </c>
      <c r="K17" s="151">
        <f t="shared" si="3"/>
        <v>0</v>
      </c>
      <c r="L17" s="151">
        <f t="shared" si="3"/>
        <v>0</v>
      </c>
      <c r="M17" s="151">
        <f t="shared" si="3"/>
        <v>0</v>
      </c>
      <c r="N17" s="151">
        <f t="shared" si="3"/>
        <v>0</v>
      </c>
      <c r="O17" s="151">
        <f t="shared" si="3"/>
        <v>0</v>
      </c>
      <c r="P17" s="151">
        <f t="shared" si="3"/>
        <v>0</v>
      </c>
      <c r="Q17" s="151">
        <f t="shared" si="3"/>
        <v>0</v>
      </c>
      <c r="R17" s="151">
        <f t="shared" si="3"/>
        <v>0</v>
      </c>
      <c r="S17" s="151">
        <f t="shared" si="3"/>
        <v>0</v>
      </c>
      <c r="T17" s="151">
        <f t="shared" si="3"/>
        <v>0</v>
      </c>
      <c r="U17" s="151">
        <f t="shared" si="3"/>
        <v>0</v>
      </c>
      <c r="V17" s="151">
        <f t="shared" si="3"/>
        <v>0</v>
      </c>
      <c r="W17" s="151">
        <f t="shared" si="3"/>
        <v>0</v>
      </c>
      <c r="X17" s="151">
        <f t="shared" si="3"/>
        <v>0</v>
      </c>
      <c r="Y17" s="151">
        <f t="shared" si="3"/>
        <v>0</v>
      </c>
      <c r="Z17" s="151">
        <f t="shared" si="3"/>
        <v>0</v>
      </c>
      <c r="AA17" s="151">
        <f t="shared" si="3"/>
        <v>0</v>
      </c>
      <c r="AB17" s="151">
        <f t="shared" si="3"/>
        <v>0</v>
      </c>
      <c r="AC17" s="151">
        <f t="shared" si="3"/>
        <v>0</v>
      </c>
      <c r="AD17" s="151">
        <f t="shared" si="3"/>
        <v>0</v>
      </c>
      <c r="AE17" s="151">
        <f t="shared" si="3"/>
        <v>0</v>
      </c>
      <c r="AF17" s="151">
        <f t="shared" si="3"/>
        <v>0</v>
      </c>
      <c r="AG17" s="151">
        <f t="shared" si="3"/>
        <v>0</v>
      </c>
      <c r="AH17" s="151">
        <f t="shared" si="3"/>
        <v>0</v>
      </c>
      <c r="AI17" s="151">
        <f t="shared" si="3"/>
        <v>0</v>
      </c>
      <c r="AJ17" s="151">
        <f t="shared" si="3"/>
        <v>0</v>
      </c>
      <c r="AK17" s="151">
        <f t="shared" si="3"/>
        <v>0</v>
      </c>
      <c r="AL17" s="151">
        <f t="shared" si="3"/>
        <v>0</v>
      </c>
      <c r="AM17" s="151">
        <f t="shared" si="3"/>
        <v>0</v>
      </c>
      <c r="AN17" s="151">
        <f t="shared" si="3"/>
        <v>0</v>
      </c>
      <c r="AO17" s="151">
        <f t="shared" si="3"/>
        <v>0</v>
      </c>
      <c r="AP17" s="151">
        <f t="shared" si="3"/>
        <v>0</v>
      </c>
      <c r="AQ17" s="152">
        <f t="shared" si="3"/>
        <v>0</v>
      </c>
    </row>
    <row r="18" spans="2:43" ht="25.5" x14ac:dyDescent="0.2">
      <c r="B18" s="150" t="s">
        <v>709</v>
      </c>
      <c r="C18" s="151"/>
      <c r="D18" s="151">
        <f t="shared" ref="D18:AQ18" si="4">D17-C17</f>
        <v>0</v>
      </c>
      <c r="E18" s="151">
        <f t="shared" si="4"/>
        <v>0</v>
      </c>
      <c r="F18" s="151">
        <f t="shared" si="4"/>
        <v>0</v>
      </c>
      <c r="G18" s="151">
        <f t="shared" si="4"/>
        <v>0</v>
      </c>
      <c r="H18" s="151">
        <f t="shared" si="4"/>
        <v>0</v>
      </c>
      <c r="I18" s="151">
        <f t="shared" si="4"/>
        <v>0</v>
      </c>
      <c r="J18" s="151">
        <f t="shared" si="4"/>
        <v>0</v>
      </c>
      <c r="K18" s="151">
        <f t="shared" si="4"/>
        <v>0</v>
      </c>
      <c r="L18" s="151">
        <f t="shared" si="4"/>
        <v>0</v>
      </c>
      <c r="M18" s="151">
        <f t="shared" si="4"/>
        <v>0</v>
      </c>
      <c r="N18" s="151">
        <f t="shared" si="4"/>
        <v>0</v>
      </c>
      <c r="O18" s="151">
        <f t="shared" si="4"/>
        <v>0</v>
      </c>
      <c r="P18" s="151">
        <f t="shared" si="4"/>
        <v>0</v>
      </c>
      <c r="Q18" s="151">
        <f t="shared" si="4"/>
        <v>0</v>
      </c>
      <c r="R18" s="151">
        <f t="shared" si="4"/>
        <v>0</v>
      </c>
      <c r="S18" s="151">
        <f t="shared" si="4"/>
        <v>0</v>
      </c>
      <c r="T18" s="151">
        <f t="shared" si="4"/>
        <v>0</v>
      </c>
      <c r="U18" s="151">
        <f t="shared" si="4"/>
        <v>0</v>
      </c>
      <c r="V18" s="151">
        <f t="shared" si="4"/>
        <v>0</v>
      </c>
      <c r="W18" s="151">
        <f t="shared" si="4"/>
        <v>0</v>
      </c>
      <c r="X18" s="151">
        <f t="shared" si="4"/>
        <v>0</v>
      </c>
      <c r="Y18" s="151">
        <f t="shared" si="4"/>
        <v>0</v>
      </c>
      <c r="Z18" s="151">
        <f t="shared" si="4"/>
        <v>0</v>
      </c>
      <c r="AA18" s="151">
        <f t="shared" si="4"/>
        <v>0</v>
      </c>
      <c r="AB18" s="151">
        <f t="shared" si="4"/>
        <v>0</v>
      </c>
      <c r="AC18" s="151">
        <f t="shared" si="4"/>
        <v>0</v>
      </c>
      <c r="AD18" s="151">
        <f t="shared" si="4"/>
        <v>0</v>
      </c>
      <c r="AE18" s="151">
        <f t="shared" si="4"/>
        <v>0</v>
      </c>
      <c r="AF18" s="151">
        <f t="shared" si="4"/>
        <v>0</v>
      </c>
      <c r="AG18" s="151">
        <f t="shared" si="4"/>
        <v>0</v>
      </c>
      <c r="AH18" s="151">
        <f t="shared" si="4"/>
        <v>0</v>
      </c>
      <c r="AI18" s="151">
        <f t="shared" si="4"/>
        <v>0</v>
      </c>
      <c r="AJ18" s="151">
        <f t="shared" si="4"/>
        <v>0</v>
      </c>
      <c r="AK18" s="151">
        <f t="shared" si="4"/>
        <v>0</v>
      </c>
      <c r="AL18" s="151">
        <f t="shared" si="4"/>
        <v>0</v>
      </c>
      <c r="AM18" s="151">
        <f t="shared" si="4"/>
        <v>0</v>
      </c>
      <c r="AN18" s="151">
        <f t="shared" si="4"/>
        <v>0</v>
      </c>
      <c r="AO18" s="151">
        <f t="shared" si="4"/>
        <v>0</v>
      </c>
      <c r="AP18" s="151">
        <f t="shared" si="4"/>
        <v>0</v>
      </c>
      <c r="AQ18" s="152">
        <f t="shared" si="4"/>
        <v>0</v>
      </c>
    </row>
    <row r="19" spans="2:43" ht="25.5" x14ac:dyDescent="0.2">
      <c r="B19" s="153" t="s">
        <v>710</v>
      </c>
      <c r="C19" s="154"/>
      <c r="D19" s="155" t="e">
        <f t="shared" ref="D19:AQ19" si="5">D18*($C$7-$C$8)</f>
        <v>#VALUE!</v>
      </c>
      <c r="E19" s="155" t="e">
        <f t="shared" si="5"/>
        <v>#VALUE!</v>
      </c>
      <c r="F19" s="155" t="e">
        <f t="shared" si="5"/>
        <v>#VALUE!</v>
      </c>
      <c r="G19" s="155" t="e">
        <f t="shared" si="5"/>
        <v>#VALUE!</v>
      </c>
      <c r="H19" s="155" t="e">
        <f t="shared" si="5"/>
        <v>#VALUE!</v>
      </c>
      <c r="I19" s="155" t="e">
        <f t="shared" si="5"/>
        <v>#VALUE!</v>
      </c>
      <c r="J19" s="155" t="e">
        <f t="shared" si="5"/>
        <v>#VALUE!</v>
      </c>
      <c r="K19" s="155" t="e">
        <f t="shared" si="5"/>
        <v>#VALUE!</v>
      </c>
      <c r="L19" s="155" t="e">
        <f t="shared" si="5"/>
        <v>#VALUE!</v>
      </c>
      <c r="M19" s="155" t="e">
        <f t="shared" si="5"/>
        <v>#VALUE!</v>
      </c>
      <c r="N19" s="155" t="e">
        <f t="shared" si="5"/>
        <v>#VALUE!</v>
      </c>
      <c r="O19" s="155" t="e">
        <f t="shared" si="5"/>
        <v>#VALUE!</v>
      </c>
      <c r="P19" s="155" t="e">
        <f t="shared" si="5"/>
        <v>#VALUE!</v>
      </c>
      <c r="Q19" s="155" t="e">
        <f t="shared" si="5"/>
        <v>#VALUE!</v>
      </c>
      <c r="R19" s="155" t="e">
        <f t="shared" si="5"/>
        <v>#VALUE!</v>
      </c>
      <c r="S19" s="155" t="e">
        <f t="shared" si="5"/>
        <v>#VALUE!</v>
      </c>
      <c r="T19" s="155" t="e">
        <f t="shared" si="5"/>
        <v>#VALUE!</v>
      </c>
      <c r="U19" s="155" t="e">
        <f t="shared" si="5"/>
        <v>#VALUE!</v>
      </c>
      <c r="V19" s="155" t="e">
        <f t="shared" si="5"/>
        <v>#VALUE!</v>
      </c>
      <c r="W19" s="155" t="e">
        <f t="shared" si="5"/>
        <v>#VALUE!</v>
      </c>
      <c r="X19" s="155" t="e">
        <f t="shared" si="5"/>
        <v>#VALUE!</v>
      </c>
      <c r="Y19" s="155" t="e">
        <f t="shared" si="5"/>
        <v>#VALUE!</v>
      </c>
      <c r="Z19" s="155" t="e">
        <f t="shared" si="5"/>
        <v>#VALUE!</v>
      </c>
      <c r="AA19" s="155" t="e">
        <f t="shared" si="5"/>
        <v>#VALUE!</v>
      </c>
      <c r="AB19" s="155" t="e">
        <f t="shared" si="5"/>
        <v>#VALUE!</v>
      </c>
      <c r="AC19" s="155" t="e">
        <f t="shared" si="5"/>
        <v>#VALUE!</v>
      </c>
      <c r="AD19" s="155" t="e">
        <f t="shared" si="5"/>
        <v>#VALUE!</v>
      </c>
      <c r="AE19" s="155" t="e">
        <f t="shared" si="5"/>
        <v>#VALUE!</v>
      </c>
      <c r="AF19" s="155" t="e">
        <f t="shared" si="5"/>
        <v>#VALUE!</v>
      </c>
      <c r="AG19" s="155" t="e">
        <f t="shared" si="5"/>
        <v>#VALUE!</v>
      </c>
      <c r="AH19" s="155" t="e">
        <f t="shared" si="5"/>
        <v>#VALUE!</v>
      </c>
      <c r="AI19" s="155" t="e">
        <f t="shared" si="5"/>
        <v>#VALUE!</v>
      </c>
      <c r="AJ19" s="155" t="e">
        <f t="shared" si="5"/>
        <v>#VALUE!</v>
      </c>
      <c r="AK19" s="155" t="e">
        <f t="shared" si="5"/>
        <v>#VALUE!</v>
      </c>
      <c r="AL19" s="155" t="e">
        <f t="shared" si="5"/>
        <v>#VALUE!</v>
      </c>
      <c r="AM19" s="155" t="e">
        <f t="shared" si="5"/>
        <v>#VALUE!</v>
      </c>
      <c r="AN19" s="155" t="e">
        <f t="shared" si="5"/>
        <v>#VALUE!</v>
      </c>
      <c r="AO19" s="155" t="e">
        <f t="shared" si="5"/>
        <v>#VALUE!</v>
      </c>
      <c r="AP19" s="155" t="e">
        <f t="shared" si="5"/>
        <v>#VALUE!</v>
      </c>
      <c r="AQ19" s="156" t="e">
        <f t="shared" si="5"/>
        <v>#VALUE!</v>
      </c>
    </row>
    <row r="20" spans="2:43" x14ac:dyDescent="0.2">
      <c r="B20" s="153" t="s">
        <v>711</v>
      </c>
      <c r="C20" s="154"/>
      <c r="D20" s="155" t="e">
        <f t="shared" ref="D20:AQ20" si="6">D19*$C$10</f>
        <v>#VALUE!</v>
      </c>
      <c r="E20" s="155" t="e">
        <f t="shared" si="6"/>
        <v>#VALUE!</v>
      </c>
      <c r="F20" s="155" t="e">
        <f t="shared" si="6"/>
        <v>#VALUE!</v>
      </c>
      <c r="G20" s="155" t="e">
        <f t="shared" si="6"/>
        <v>#VALUE!</v>
      </c>
      <c r="H20" s="155" t="e">
        <f t="shared" si="6"/>
        <v>#VALUE!</v>
      </c>
      <c r="I20" s="155" t="e">
        <f t="shared" si="6"/>
        <v>#VALUE!</v>
      </c>
      <c r="J20" s="155" t="e">
        <f t="shared" si="6"/>
        <v>#VALUE!</v>
      </c>
      <c r="K20" s="155" t="e">
        <f t="shared" si="6"/>
        <v>#VALUE!</v>
      </c>
      <c r="L20" s="155" t="e">
        <f t="shared" si="6"/>
        <v>#VALUE!</v>
      </c>
      <c r="M20" s="155" t="e">
        <f t="shared" si="6"/>
        <v>#VALUE!</v>
      </c>
      <c r="N20" s="155" t="e">
        <f t="shared" si="6"/>
        <v>#VALUE!</v>
      </c>
      <c r="O20" s="155" t="e">
        <f t="shared" si="6"/>
        <v>#VALUE!</v>
      </c>
      <c r="P20" s="155" t="e">
        <f t="shared" si="6"/>
        <v>#VALUE!</v>
      </c>
      <c r="Q20" s="155" t="e">
        <f t="shared" si="6"/>
        <v>#VALUE!</v>
      </c>
      <c r="R20" s="155" t="e">
        <f t="shared" si="6"/>
        <v>#VALUE!</v>
      </c>
      <c r="S20" s="155" t="e">
        <f t="shared" si="6"/>
        <v>#VALUE!</v>
      </c>
      <c r="T20" s="155" t="e">
        <f t="shared" si="6"/>
        <v>#VALUE!</v>
      </c>
      <c r="U20" s="155" t="e">
        <f t="shared" si="6"/>
        <v>#VALUE!</v>
      </c>
      <c r="V20" s="155" t="e">
        <f t="shared" si="6"/>
        <v>#VALUE!</v>
      </c>
      <c r="W20" s="155" t="e">
        <f t="shared" si="6"/>
        <v>#VALUE!</v>
      </c>
      <c r="X20" s="155" t="e">
        <f t="shared" si="6"/>
        <v>#VALUE!</v>
      </c>
      <c r="Y20" s="155" t="e">
        <f t="shared" si="6"/>
        <v>#VALUE!</v>
      </c>
      <c r="Z20" s="155" t="e">
        <f t="shared" si="6"/>
        <v>#VALUE!</v>
      </c>
      <c r="AA20" s="155" t="e">
        <f t="shared" si="6"/>
        <v>#VALUE!</v>
      </c>
      <c r="AB20" s="155" t="e">
        <f t="shared" si="6"/>
        <v>#VALUE!</v>
      </c>
      <c r="AC20" s="155" t="e">
        <f t="shared" si="6"/>
        <v>#VALUE!</v>
      </c>
      <c r="AD20" s="155" t="e">
        <f t="shared" si="6"/>
        <v>#VALUE!</v>
      </c>
      <c r="AE20" s="155" t="e">
        <f t="shared" si="6"/>
        <v>#VALUE!</v>
      </c>
      <c r="AF20" s="155" t="e">
        <f t="shared" si="6"/>
        <v>#VALUE!</v>
      </c>
      <c r="AG20" s="155" t="e">
        <f t="shared" si="6"/>
        <v>#VALUE!</v>
      </c>
      <c r="AH20" s="155" t="e">
        <f t="shared" si="6"/>
        <v>#VALUE!</v>
      </c>
      <c r="AI20" s="155" t="e">
        <f t="shared" si="6"/>
        <v>#VALUE!</v>
      </c>
      <c r="AJ20" s="155" t="e">
        <f t="shared" si="6"/>
        <v>#VALUE!</v>
      </c>
      <c r="AK20" s="155" t="e">
        <f t="shared" si="6"/>
        <v>#VALUE!</v>
      </c>
      <c r="AL20" s="155" t="e">
        <f t="shared" si="6"/>
        <v>#VALUE!</v>
      </c>
      <c r="AM20" s="155" t="e">
        <f t="shared" si="6"/>
        <v>#VALUE!</v>
      </c>
      <c r="AN20" s="155" t="e">
        <f t="shared" si="6"/>
        <v>#VALUE!</v>
      </c>
      <c r="AO20" s="155" t="e">
        <f t="shared" si="6"/>
        <v>#VALUE!</v>
      </c>
      <c r="AP20" s="155" t="e">
        <f t="shared" si="6"/>
        <v>#VALUE!</v>
      </c>
      <c r="AQ20" s="156" t="e">
        <f t="shared" si="6"/>
        <v>#VALUE!</v>
      </c>
    </row>
    <row r="21" spans="2:43" ht="27" customHeight="1" thickBot="1" x14ac:dyDescent="0.25">
      <c r="B21" s="157" t="s">
        <v>712</v>
      </c>
      <c r="C21" s="158"/>
      <c r="D21" s="159">
        <f t="shared" ref="D21:AQ21" si="7">IF(D14&lt;=$C$9,(D19-D20),0)</f>
        <v>0</v>
      </c>
      <c r="E21" s="159">
        <f t="shared" si="7"/>
        <v>0</v>
      </c>
      <c r="F21" s="159">
        <f t="shared" si="7"/>
        <v>0</v>
      </c>
      <c r="G21" s="159">
        <f t="shared" si="7"/>
        <v>0</v>
      </c>
      <c r="H21" s="159">
        <f t="shared" si="7"/>
        <v>0</v>
      </c>
      <c r="I21" s="159">
        <f t="shared" si="7"/>
        <v>0</v>
      </c>
      <c r="J21" s="159">
        <f t="shared" si="7"/>
        <v>0</v>
      </c>
      <c r="K21" s="159">
        <f t="shared" si="7"/>
        <v>0</v>
      </c>
      <c r="L21" s="159">
        <f t="shared" si="7"/>
        <v>0</v>
      </c>
      <c r="M21" s="159">
        <f t="shared" si="7"/>
        <v>0</v>
      </c>
      <c r="N21" s="159">
        <f t="shared" si="7"/>
        <v>0</v>
      </c>
      <c r="O21" s="159">
        <f t="shared" si="7"/>
        <v>0</v>
      </c>
      <c r="P21" s="159">
        <f t="shared" si="7"/>
        <v>0</v>
      </c>
      <c r="Q21" s="159">
        <f t="shared" si="7"/>
        <v>0</v>
      </c>
      <c r="R21" s="159">
        <f t="shared" si="7"/>
        <v>0</v>
      </c>
      <c r="S21" s="159">
        <f t="shared" si="7"/>
        <v>0</v>
      </c>
      <c r="T21" s="159">
        <f t="shared" si="7"/>
        <v>0</v>
      </c>
      <c r="U21" s="159">
        <f t="shared" si="7"/>
        <v>0</v>
      </c>
      <c r="V21" s="159">
        <f t="shared" si="7"/>
        <v>0</v>
      </c>
      <c r="W21" s="159">
        <f t="shared" si="7"/>
        <v>0</v>
      </c>
      <c r="X21" s="159">
        <f t="shared" si="7"/>
        <v>0</v>
      </c>
      <c r="Y21" s="159">
        <f t="shared" si="7"/>
        <v>0</v>
      </c>
      <c r="Z21" s="159">
        <f t="shared" si="7"/>
        <v>0</v>
      </c>
      <c r="AA21" s="159">
        <f t="shared" si="7"/>
        <v>0</v>
      </c>
      <c r="AB21" s="159">
        <f t="shared" si="7"/>
        <v>0</v>
      </c>
      <c r="AC21" s="159">
        <f t="shared" si="7"/>
        <v>0</v>
      </c>
      <c r="AD21" s="159">
        <f t="shared" si="7"/>
        <v>0</v>
      </c>
      <c r="AE21" s="159">
        <f t="shared" si="7"/>
        <v>0</v>
      </c>
      <c r="AF21" s="159">
        <f t="shared" si="7"/>
        <v>0</v>
      </c>
      <c r="AG21" s="159">
        <f t="shared" si="7"/>
        <v>0</v>
      </c>
      <c r="AH21" s="159">
        <f t="shared" si="7"/>
        <v>0</v>
      </c>
      <c r="AI21" s="159">
        <f t="shared" si="7"/>
        <v>0</v>
      </c>
      <c r="AJ21" s="159">
        <f t="shared" si="7"/>
        <v>0</v>
      </c>
      <c r="AK21" s="159">
        <f t="shared" si="7"/>
        <v>0</v>
      </c>
      <c r="AL21" s="159">
        <f t="shared" si="7"/>
        <v>0</v>
      </c>
      <c r="AM21" s="159">
        <f t="shared" si="7"/>
        <v>0</v>
      </c>
      <c r="AN21" s="159">
        <f t="shared" si="7"/>
        <v>0</v>
      </c>
      <c r="AO21" s="159">
        <f t="shared" si="7"/>
        <v>0</v>
      </c>
      <c r="AP21" s="159">
        <f t="shared" si="7"/>
        <v>0</v>
      </c>
      <c r="AQ21" s="159">
        <f t="shared" si="7"/>
        <v>0</v>
      </c>
    </row>
    <row r="22" spans="2:43" ht="13.5" thickBot="1" x14ac:dyDescent="0.25">
      <c r="B22" s="160"/>
    </row>
    <row r="23" spans="2:43" ht="15" x14ac:dyDescent="0.25">
      <c r="B23" s="1750" t="s">
        <v>713</v>
      </c>
      <c r="C23" s="1751"/>
      <c r="D23" s="1752"/>
      <c r="E23" s="161"/>
    </row>
    <row r="24" spans="2:43" ht="54" x14ac:dyDescent="0.3">
      <c r="B24" s="162" t="s">
        <v>714</v>
      </c>
      <c r="C24" s="163" t="s">
        <v>715</v>
      </c>
      <c r="D24" s="164"/>
      <c r="E24" s="132"/>
    </row>
    <row r="25" spans="2:43" ht="13.5" thickBot="1" x14ac:dyDescent="0.25">
      <c r="B25" s="165">
        <f>AQ17</f>
        <v>0</v>
      </c>
      <c r="C25" s="166">
        <f>SUM(D21:AQ21)</f>
        <v>0</v>
      </c>
      <c r="D25" s="167"/>
      <c r="E25" s="137"/>
    </row>
    <row r="28" spans="2:43" x14ac:dyDescent="0.2">
      <c r="B28" s="168" t="s">
        <v>716</v>
      </c>
      <c r="C28" s="169"/>
      <c r="D28" s="169" t="s">
        <v>681</v>
      </c>
      <c r="E28" s="169" t="s">
        <v>678</v>
      </c>
      <c r="F28" s="169" t="s">
        <v>675</v>
      </c>
    </row>
    <row r="29" spans="2:43" ht="51" x14ac:dyDescent="0.2">
      <c r="B29" s="170" t="s">
        <v>616</v>
      </c>
      <c r="C29" s="169">
        <v>1</v>
      </c>
      <c r="D29" s="169" t="s">
        <v>717</v>
      </c>
      <c r="E29" s="169" t="s">
        <v>718</v>
      </c>
      <c r="F29" s="169" t="s">
        <v>719</v>
      </c>
    </row>
    <row r="30" spans="2:43" ht="38.25" x14ac:dyDescent="0.2">
      <c r="B30" s="170" t="s">
        <v>617</v>
      </c>
      <c r="C30" s="169">
        <v>1</v>
      </c>
      <c r="D30" s="171">
        <v>0.1</v>
      </c>
      <c r="E30" s="171">
        <v>0.25</v>
      </c>
      <c r="F30" s="171">
        <v>0.4</v>
      </c>
    </row>
    <row r="31" spans="2:43" ht="102" x14ac:dyDescent="0.2">
      <c r="B31" s="172" t="s">
        <v>720</v>
      </c>
      <c r="C31" s="169">
        <v>1</v>
      </c>
    </row>
  </sheetData>
  <mergeCells count="3">
    <mergeCell ref="B2:D2"/>
    <mergeCell ref="B13:AQ13"/>
    <mergeCell ref="B23:D23"/>
  </mergeCells>
  <pageMargins left="0.78740157499999996" right="0.78740157499999996" top="0.984251969" bottom="0.984251969" header="0.5" footer="0.5"/>
  <headerFooter alignWithMargins="0"/>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A039"/>
  </sheetPr>
  <dimension ref="A1:BI277"/>
  <sheetViews>
    <sheetView showGridLines="0" zoomScaleNormal="100" workbookViewId="0"/>
  </sheetViews>
  <sheetFormatPr defaultColWidth="8.85546875" defaultRowHeight="15" outlineLevelRow="2" x14ac:dyDescent="0.25"/>
  <cols>
    <col min="1" max="2" width="1.7109375" style="6" customWidth="1"/>
    <col min="3" max="3" width="11.7109375" style="6" customWidth="1"/>
    <col min="4" max="4" width="13.7109375" style="6" customWidth="1"/>
    <col min="5" max="5" width="11.85546875" style="6" customWidth="1"/>
    <col min="6" max="6" width="12" style="6" customWidth="1"/>
    <col min="7" max="7" width="11.42578125" style="6" customWidth="1"/>
    <col min="8" max="8" width="11.85546875" style="6" customWidth="1"/>
    <col min="9" max="9" width="11.7109375" style="6" customWidth="1"/>
    <col min="10" max="10" width="12.7109375" style="6" customWidth="1"/>
    <col min="11" max="11" width="12.42578125" style="6" customWidth="1"/>
    <col min="12" max="12" width="11" style="6" customWidth="1"/>
    <col min="13" max="13" width="13.85546875" style="6" customWidth="1"/>
    <col min="14" max="14" width="14.7109375" style="6" customWidth="1"/>
    <col min="15" max="15" width="11.42578125" style="6" bestFit="1" customWidth="1"/>
    <col min="16" max="16" width="8.85546875" style="6" customWidth="1"/>
    <col min="17" max="17" width="6" style="6" customWidth="1"/>
    <col min="18" max="18" width="5.7109375" style="6" customWidth="1"/>
    <col min="19" max="19" width="10.42578125" style="6" customWidth="1"/>
    <col min="20" max="30" width="5.7109375" style="6" customWidth="1"/>
    <col min="31" max="31" width="27.28515625" style="415" bestFit="1" customWidth="1"/>
    <col min="32" max="32" width="18.42578125" style="415" customWidth="1"/>
    <col min="33" max="33" width="33.28515625" style="415" customWidth="1"/>
    <col min="34" max="34" width="29" style="415" customWidth="1"/>
    <col min="35" max="37" width="13.7109375" style="415" customWidth="1"/>
    <col min="38" max="38" width="5.85546875" style="415" customWidth="1"/>
    <col min="39" max="39" width="19.140625" style="415" customWidth="1"/>
    <col min="40" max="40" width="16" style="415" bestFit="1" customWidth="1"/>
    <col min="41" max="41" width="8.85546875" style="6"/>
    <col min="42" max="42" width="9.140625" style="6" customWidth="1"/>
    <col min="43" max="47" width="8.85546875" style="6"/>
    <col min="48" max="48" width="27.42578125" style="6" customWidth="1"/>
    <col min="49" max="16384" width="8.85546875" style="6"/>
  </cols>
  <sheetData>
    <row r="1" spans="1:40" s="53" customFormat="1" ht="18.75" customHeight="1" thickTop="1" x14ac:dyDescent="0.25">
      <c r="A1" s="1510"/>
      <c r="B1" s="1862" t="s">
        <v>1121</v>
      </c>
      <c r="C1" s="1863"/>
      <c r="D1" s="1863"/>
      <c r="E1" s="1863"/>
      <c r="F1" s="1863"/>
      <c r="G1" s="1863"/>
      <c r="H1" s="1863"/>
      <c r="I1" s="1863"/>
      <c r="J1" s="1863"/>
      <c r="K1" s="1863"/>
      <c r="L1" s="1863"/>
      <c r="M1" s="1863"/>
      <c r="N1" s="1863"/>
      <c r="O1" s="1863"/>
      <c r="P1" s="1863"/>
      <c r="Q1" s="1864"/>
      <c r="R1" s="482"/>
      <c r="S1" s="484"/>
      <c r="T1" s="484"/>
      <c r="U1" s="484"/>
      <c r="V1" s="484"/>
      <c r="W1" s="484"/>
      <c r="X1" s="484"/>
      <c r="Y1" s="484"/>
      <c r="Z1" s="484"/>
      <c r="AA1" s="484"/>
      <c r="AB1" s="484"/>
      <c r="AC1" s="484"/>
      <c r="AD1" s="484"/>
      <c r="AE1" s="447"/>
      <c r="AF1" s="447"/>
      <c r="AG1" s="447"/>
      <c r="AH1" s="447"/>
      <c r="AI1" s="447"/>
      <c r="AJ1" s="447"/>
      <c r="AK1" s="447"/>
      <c r="AL1" s="447"/>
      <c r="AM1" s="447"/>
      <c r="AN1" s="447"/>
    </row>
    <row r="2" spans="1:40" x14ac:dyDescent="0.25">
      <c r="B2" s="92"/>
      <c r="C2" s="1"/>
      <c r="D2" s="1"/>
      <c r="E2" s="1"/>
      <c r="F2" s="1"/>
      <c r="G2" s="1"/>
      <c r="H2" s="1"/>
      <c r="I2" s="1"/>
      <c r="J2" s="1"/>
      <c r="K2" s="1"/>
      <c r="L2" s="1"/>
      <c r="M2" s="1"/>
      <c r="N2" s="1"/>
      <c r="O2" s="1"/>
      <c r="P2" s="1"/>
      <c r="Q2" s="93"/>
    </row>
    <row r="3" spans="1:40" ht="29.25" customHeight="1" x14ac:dyDescent="0.25">
      <c r="B3" s="92"/>
      <c r="C3" s="1725" t="s">
        <v>1594</v>
      </c>
      <c r="D3" s="1725"/>
      <c r="E3" s="1725"/>
      <c r="F3" s="1725"/>
      <c r="G3" s="1725"/>
      <c r="H3" s="1725"/>
      <c r="I3" s="1725"/>
      <c r="J3" s="1725"/>
      <c r="K3" s="1725"/>
      <c r="L3" s="1725"/>
      <c r="M3" s="1725"/>
      <c r="N3" s="1725"/>
      <c r="O3" s="1"/>
      <c r="P3" s="1"/>
      <c r="Q3" s="93"/>
    </row>
    <row r="4" spans="1:40" x14ac:dyDescent="0.25">
      <c r="B4" s="92"/>
      <c r="C4" s="374"/>
      <c r="D4" s="374"/>
      <c r="E4" s="374"/>
      <c r="F4" s="374"/>
      <c r="G4" s="374"/>
      <c r="H4" s="374"/>
      <c r="I4" s="374"/>
      <c r="J4" s="374"/>
      <c r="K4" s="374"/>
      <c r="L4" s="373"/>
      <c r="M4" s="373"/>
      <c r="N4" s="1"/>
      <c r="O4" s="1"/>
      <c r="P4" s="1"/>
      <c r="Q4" s="93"/>
    </row>
    <row r="5" spans="1:40" ht="15.75" x14ac:dyDescent="0.25">
      <c r="B5" s="92"/>
      <c r="C5" s="288" t="s">
        <v>1215</v>
      </c>
      <c r="D5" s="1"/>
      <c r="E5" s="1"/>
      <c r="F5" s="1"/>
      <c r="G5" s="1"/>
      <c r="H5" s="1"/>
      <c r="I5" s="1"/>
      <c r="J5" s="1"/>
      <c r="K5" s="1"/>
      <c r="L5" s="1"/>
      <c r="M5" s="1"/>
      <c r="N5" s="1"/>
      <c r="O5" s="1"/>
      <c r="P5" s="1"/>
      <c r="Q5" s="93"/>
    </row>
    <row r="6" spans="1:40" hidden="1" outlineLevel="1" x14ac:dyDescent="0.25">
      <c r="B6" s="92"/>
      <c r="C6" s="352" t="s">
        <v>1234</v>
      </c>
      <c r="D6" s="1"/>
      <c r="E6" s="1"/>
      <c r="F6" s="1"/>
      <c r="G6" s="1"/>
      <c r="H6" s="1"/>
      <c r="I6" s="1"/>
      <c r="J6" s="1"/>
      <c r="K6" s="1"/>
      <c r="L6" s="1"/>
      <c r="M6" s="1"/>
      <c r="N6" s="1"/>
      <c r="O6" s="1"/>
      <c r="P6" s="1"/>
      <c r="Q6" s="93"/>
    </row>
    <row r="7" spans="1:40" ht="29.25" hidden="1" customHeight="1" outlineLevel="1" x14ac:dyDescent="0.25">
      <c r="B7" s="92"/>
      <c r="C7" s="1782" t="s">
        <v>1180</v>
      </c>
      <c r="D7" s="1782"/>
      <c r="E7" s="1782"/>
      <c r="F7" s="1782"/>
      <c r="G7" s="1782"/>
      <c r="H7" s="1782"/>
      <c r="I7" s="1782"/>
      <c r="J7" s="1782"/>
      <c r="K7" s="1782"/>
      <c r="L7" s="1782"/>
      <c r="M7" s="1782"/>
      <c r="N7" s="1782"/>
      <c r="O7" s="1782"/>
      <c r="P7" s="1782"/>
      <c r="Q7" s="93"/>
    </row>
    <row r="8" spans="1:40" hidden="1" outlineLevel="1" x14ac:dyDescent="0.25">
      <c r="B8" s="92"/>
      <c r="C8" s="375"/>
      <c r="D8" s="375"/>
      <c r="E8" s="375"/>
      <c r="F8" s="375"/>
      <c r="G8" s="375"/>
      <c r="H8" s="375"/>
      <c r="I8" s="375"/>
      <c r="J8" s="375"/>
      <c r="K8" s="375"/>
      <c r="L8" s="375"/>
      <c r="M8" s="375"/>
      <c r="N8" s="375"/>
      <c r="O8" s="1"/>
      <c r="P8" s="1"/>
      <c r="Q8" s="93"/>
    </row>
    <row r="9" spans="1:40" ht="15.75" hidden="1" outlineLevel="1" x14ac:dyDescent="0.25">
      <c r="A9" s="93"/>
      <c r="B9" s="1583" t="s">
        <v>495</v>
      </c>
      <c r="C9" s="1584"/>
      <c r="D9" s="1584"/>
      <c r="E9" s="1584"/>
      <c r="F9" s="1584"/>
      <c r="G9" s="1584"/>
      <c r="H9" s="1584"/>
      <c r="I9" s="1584"/>
      <c r="J9" s="1584"/>
      <c r="K9" s="1584"/>
      <c r="L9" s="1584"/>
      <c r="M9" s="1584"/>
      <c r="N9" s="1584"/>
      <c r="O9" s="1584"/>
      <c r="P9" s="1584"/>
      <c r="Q9" s="1585"/>
    </row>
    <row r="10" spans="1:40" ht="16.5" hidden="1" outlineLevel="2" thickBot="1" x14ac:dyDescent="0.3">
      <c r="B10" s="1503"/>
      <c r="C10" s="1504"/>
      <c r="D10" s="1504"/>
      <c r="E10" s="1504"/>
      <c r="F10" s="1504"/>
      <c r="G10" s="1504"/>
      <c r="H10" s="1504"/>
      <c r="I10" s="1504"/>
      <c r="J10" s="1504"/>
      <c r="K10" s="1504"/>
      <c r="L10" s="1504"/>
      <c r="M10" s="1504"/>
      <c r="N10" s="1504"/>
      <c r="O10" s="372"/>
      <c r="P10" s="1"/>
      <c r="Q10" s="93"/>
    </row>
    <row r="11" spans="1:40" hidden="1" outlineLevel="2" x14ac:dyDescent="0.25">
      <c r="B11" s="92"/>
      <c r="C11" s="1"/>
      <c r="D11" s="111" t="s">
        <v>534</v>
      </c>
      <c r="E11" s="184"/>
      <c r="F11" s="184"/>
      <c r="G11" s="184"/>
      <c r="H11" s="184"/>
      <c r="I11" s="184"/>
      <c r="J11" s="184"/>
      <c r="K11" s="1408" t="s">
        <v>504</v>
      </c>
      <c r="L11" s="1408" t="s">
        <v>30</v>
      </c>
      <c r="M11" s="1871" t="s">
        <v>1156</v>
      </c>
      <c r="N11" s="1872"/>
      <c r="O11" s="1"/>
      <c r="P11" s="1"/>
      <c r="Q11" s="93"/>
    </row>
    <row r="12" spans="1:40" ht="15" hidden="1" customHeight="1" outlineLevel="2" x14ac:dyDescent="0.25">
      <c r="B12" s="92"/>
      <c r="C12" s="1"/>
      <c r="D12" s="1865" t="s">
        <v>1122</v>
      </c>
      <c r="E12" s="1866"/>
      <c r="F12" s="1866"/>
      <c r="G12" s="1866"/>
      <c r="H12" s="1866"/>
      <c r="I12" s="1866"/>
      <c r="J12" s="1866"/>
      <c r="K12" s="1108" t="s">
        <v>12</v>
      </c>
      <c r="L12" s="409"/>
      <c r="M12" s="1788"/>
      <c r="N12" s="1789"/>
      <c r="O12" s="13"/>
      <c r="P12" s="1"/>
      <c r="Q12" s="93"/>
    </row>
    <row r="13" spans="1:40" hidden="1" outlineLevel="2" x14ac:dyDescent="0.25">
      <c r="B13" s="92"/>
      <c r="C13" s="1"/>
      <c r="D13" s="1809" t="s">
        <v>1165</v>
      </c>
      <c r="E13" s="1810"/>
      <c r="F13" s="1810"/>
      <c r="G13" s="1810"/>
      <c r="H13" s="1810"/>
      <c r="I13" s="1810"/>
      <c r="J13" s="1810"/>
      <c r="K13" s="556"/>
      <c r="L13" s="409"/>
      <c r="M13" s="1867" t="str">
        <f>IF(K12="Outros","Se a cultura agrícola não for listada, é necessário preencher Pmcaj e GPpacaj.","")</f>
        <v/>
      </c>
      <c r="N13" s="1868"/>
      <c r="O13" s="13"/>
      <c r="P13" s="1"/>
      <c r="Q13" s="93"/>
    </row>
    <row r="14" spans="1:40" ht="15" hidden="1" customHeight="1" outlineLevel="2" x14ac:dyDescent="0.3">
      <c r="B14" s="92"/>
      <c r="C14" s="1"/>
      <c r="D14" s="410" t="s">
        <v>1217</v>
      </c>
      <c r="E14" s="417"/>
      <c r="F14" s="417"/>
      <c r="G14" s="417"/>
      <c r="H14" s="417"/>
      <c r="I14" s="417"/>
      <c r="J14" s="417"/>
      <c r="K14" s="474"/>
      <c r="L14" s="409" t="s">
        <v>1119</v>
      </c>
      <c r="M14" s="1783"/>
      <c r="N14" s="1784"/>
      <c r="O14" s="13"/>
      <c r="P14" s="1"/>
      <c r="Q14" s="93"/>
    </row>
    <row r="15" spans="1:40" hidden="1" outlineLevel="2" x14ac:dyDescent="0.25">
      <c r="B15" s="428"/>
      <c r="C15" s="115"/>
      <c r="D15" s="1569" t="s">
        <v>0</v>
      </c>
      <c r="E15" s="1570"/>
      <c r="F15" s="1570"/>
      <c r="G15" s="1570"/>
      <c r="H15" s="1570"/>
      <c r="I15" s="1570"/>
      <c r="J15" s="1570"/>
      <c r="K15" s="1479"/>
      <c r="L15" s="1479"/>
      <c r="M15" s="1479"/>
      <c r="N15" s="1485"/>
      <c r="O15" s="34"/>
      <c r="P15" s="1"/>
      <c r="Q15" s="93"/>
    </row>
    <row r="16" spans="1:40" hidden="1" outlineLevel="2" x14ac:dyDescent="0.25">
      <c r="B16" s="428"/>
      <c r="C16" s="115"/>
      <c r="D16" s="1873" t="s">
        <v>1286</v>
      </c>
      <c r="E16" s="1874"/>
      <c r="F16" s="1874"/>
      <c r="G16" s="1874"/>
      <c r="H16" s="1874"/>
      <c r="I16" s="1874"/>
      <c r="J16" s="1874"/>
      <c r="K16" s="556"/>
      <c r="L16" s="1480"/>
      <c r="M16" s="1869" t="str">
        <f>IF($K$13="","Se não souber, deixe em branco.","Preencha este campo")</f>
        <v>Se não souber, deixe em branco.</v>
      </c>
      <c r="N16" s="1870"/>
      <c r="O16" s="34"/>
      <c r="P16" s="1"/>
      <c r="Q16" s="93"/>
    </row>
    <row r="17" spans="1:40" ht="16.5" hidden="1" customHeight="1" outlineLevel="2" x14ac:dyDescent="0.3">
      <c r="B17" s="428"/>
      <c r="C17" s="115"/>
      <c r="D17" s="257" t="s">
        <v>1285</v>
      </c>
      <c r="E17" s="545"/>
      <c r="F17" s="545"/>
      <c r="G17" s="545"/>
      <c r="H17" s="545"/>
      <c r="I17" s="545"/>
      <c r="J17" s="545"/>
      <c r="K17" s="556"/>
      <c r="L17" s="1481"/>
      <c r="M17" s="1869" t="str">
        <f>IF($K$13="","Se não souber, deixe em branco.","Preencha este campo")</f>
        <v>Se não souber, deixe em branco.</v>
      </c>
      <c r="N17" s="1870"/>
      <c r="O17" s="34"/>
      <c r="P17" s="1"/>
      <c r="Q17" s="93"/>
    </row>
    <row r="18" spans="1:40" ht="36" hidden="1" customHeight="1" outlineLevel="2" x14ac:dyDescent="0.25">
      <c r="B18" s="428"/>
      <c r="C18" s="115"/>
      <c r="D18" s="1873" t="s">
        <v>1228</v>
      </c>
      <c r="E18" s="1874"/>
      <c r="F18" s="1874"/>
      <c r="G18" s="1874"/>
      <c r="H18" s="1874"/>
      <c r="I18" s="1874"/>
      <c r="J18" s="1874"/>
      <c r="K18" s="1109"/>
      <c r="L18" s="1109" t="s">
        <v>1572</v>
      </c>
      <c r="M18" s="1875"/>
      <c r="N18" s="1876"/>
      <c r="O18" s="34"/>
      <c r="P18" s="1"/>
      <c r="Q18" s="93"/>
    </row>
    <row r="19" spans="1:40" ht="16.5" hidden="1" outlineLevel="2" x14ac:dyDescent="0.25">
      <c r="B19" s="428"/>
      <c r="C19" s="200"/>
      <c r="D19" s="549" t="s">
        <v>1289</v>
      </c>
      <c r="E19" s="381"/>
      <c r="F19" s="381"/>
      <c r="G19" s="381"/>
      <c r="H19" s="381"/>
      <c r="I19" s="381"/>
      <c r="J19" s="381"/>
      <c r="K19" s="474"/>
      <c r="L19" s="474"/>
      <c r="M19" s="1783"/>
      <c r="N19" s="1784"/>
      <c r="O19" s="34"/>
      <c r="P19" s="1"/>
      <c r="Q19" s="93"/>
      <c r="AE19" s="444"/>
      <c r="AF19" s="444"/>
      <c r="AG19" s="444"/>
      <c r="AH19" s="444"/>
      <c r="AI19" s="444"/>
      <c r="AJ19" s="444"/>
      <c r="AK19" s="444"/>
      <c r="AL19" s="444"/>
      <c r="AM19" s="444"/>
      <c r="AN19" s="444"/>
    </row>
    <row r="20" spans="1:40" ht="16.5" hidden="1" outlineLevel="2" x14ac:dyDescent="0.25">
      <c r="B20" s="428"/>
      <c r="C20" s="200"/>
      <c r="D20" s="550" t="s">
        <v>1290</v>
      </c>
      <c r="E20" s="390"/>
      <c r="F20" s="390"/>
      <c r="G20" s="390"/>
      <c r="H20" s="390"/>
      <c r="I20" s="390"/>
      <c r="J20" s="390"/>
      <c r="K20" s="1110"/>
      <c r="L20" s="1482" t="s">
        <v>13</v>
      </c>
      <c r="M20" s="1798"/>
      <c r="N20" s="1799"/>
      <c r="O20" s="34"/>
      <c r="P20" s="1"/>
      <c r="Q20" s="93"/>
      <c r="AE20" s="444"/>
      <c r="AF20" s="444"/>
      <c r="AG20" s="444"/>
      <c r="AH20" s="444"/>
      <c r="AI20" s="444"/>
      <c r="AJ20" s="444"/>
      <c r="AK20" s="444"/>
      <c r="AL20" s="444"/>
      <c r="AM20" s="444"/>
      <c r="AN20" s="444"/>
    </row>
    <row r="21" spans="1:40" ht="17.25" hidden="1" customHeight="1" outlineLevel="2" x14ac:dyDescent="0.25">
      <c r="B21" s="428"/>
      <c r="C21" s="115"/>
      <c r="D21" s="1569" t="s">
        <v>1</v>
      </c>
      <c r="E21" s="1570"/>
      <c r="F21" s="1570"/>
      <c r="G21" s="1570"/>
      <c r="H21" s="1570"/>
      <c r="I21" s="1570"/>
      <c r="J21" s="1570"/>
      <c r="K21" s="1483"/>
      <c r="L21" s="1483"/>
      <c r="M21" s="1483"/>
      <c r="N21" s="1486"/>
      <c r="O21" s="34"/>
      <c r="P21" s="1"/>
      <c r="Q21" s="93"/>
    </row>
    <row r="22" spans="1:40" hidden="1" outlineLevel="2" x14ac:dyDescent="0.25">
      <c r="B22" s="428"/>
      <c r="C22" s="115"/>
      <c r="D22" s="1602" t="s">
        <v>1317</v>
      </c>
      <c r="E22" s="1603"/>
      <c r="F22" s="1603"/>
      <c r="G22" s="1603"/>
      <c r="H22" s="1603"/>
      <c r="I22" s="1603"/>
      <c r="J22" s="1603"/>
      <c r="K22" s="556"/>
      <c r="L22" s="1484"/>
      <c r="M22" s="557"/>
      <c r="N22" s="558"/>
      <c r="O22" s="34"/>
      <c r="P22" s="1"/>
      <c r="Q22" s="93"/>
    </row>
    <row r="23" spans="1:40" ht="16.5" hidden="1" outlineLevel="2" x14ac:dyDescent="0.25">
      <c r="B23" s="428"/>
      <c r="C23" s="115"/>
      <c r="D23" s="549" t="s">
        <v>1289</v>
      </c>
      <c r="E23" s="381"/>
      <c r="F23" s="381"/>
      <c r="G23" s="381"/>
      <c r="H23" s="381"/>
      <c r="I23" s="381"/>
      <c r="J23" s="381"/>
      <c r="K23" s="555"/>
      <c r="L23" s="556"/>
      <c r="M23" s="1788"/>
      <c r="N23" s="1789"/>
      <c r="O23" s="34"/>
      <c r="P23" s="1"/>
      <c r="Q23" s="93"/>
      <c r="AE23" s="444"/>
      <c r="AF23" s="444"/>
      <c r="AG23" s="444"/>
      <c r="AH23" s="444"/>
      <c r="AI23" s="444"/>
      <c r="AJ23" s="444"/>
      <c r="AK23" s="444"/>
      <c r="AL23" s="444"/>
      <c r="AM23" s="444"/>
      <c r="AN23" s="444"/>
    </row>
    <row r="24" spans="1:40" ht="16.5" hidden="1" outlineLevel="2" x14ac:dyDescent="0.25">
      <c r="B24" s="428"/>
      <c r="C24" s="200"/>
      <c r="D24" s="550" t="s">
        <v>1290</v>
      </c>
      <c r="E24" s="1385"/>
      <c r="F24" s="1385"/>
      <c r="G24" s="1385"/>
      <c r="H24" s="1385"/>
      <c r="I24" s="1385"/>
      <c r="J24" s="1385"/>
      <c r="K24" s="1505"/>
      <c r="L24" s="1482" t="s">
        <v>13</v>
      </c>
      <c r="M24" s="1798"/>
      <c r="N24" s="1799"/>
      <c r="O24" s="34"/>
      <c r="P24" s="1"/>
      <c r="Q24" s="93"/>
      <c r="AE24" s="444"/>
      <c r="AF24" s="444"/>
      <c r="AG24" s="444"/>
      <c r="AH24" s="444"/>
      <c r="AI24" s="444"/>
      <c r="AJ24" s="444"/>
      <c r="AK24" s="444"/>
      <c r="AL24" s="444"/>
      <c r="AM24" s="444"/>
      <c r="AN24" s="444"/>
    </row>
    <row r="25" spans="1:40" hidden="1" outlineLevel="1" collapsed="1" x14ac:dyDescent="0.25">
      <c r="B25" s="1503"/>
      <c r="C25" s="1504"/>
      <c r="D25" s="1504"/>
      <c r="E25" s="1504"/>
      <c r="F25" s="1504"/>
      <c r="G25" s="1504"/>
      <c r="H25" s="1504"/>
      <c r="I25" s="1504"/>
      <c r="J25" s="1504"/>
      <c r="K25" s="1504"/>
      <c r="L25" s="1504"/>
      <c r="M25" s="1504"/>
      <c r="N25" s="1504"/>
      <c r="O25" s="1504"/>
      <c r="P25" s="1504"/>
      <c r="Q25" s="1506"/>
    </row>
    <row r="26" spans="1:40" s="19" customFormat="1" ht="15.75" hidden="1" outlineLevel="1" x14ac:dyDescent="0.25">
      <c r="A26" s="52"/>
      <c r="B26" s="1566" t="s">
        <v>498</v>
      </c>
      <c r="C26" s="1567"/>
      <c r="D26" s="1567"/>
      <c r="E26" s="1567"/>
      <c r="F26" s="1567"/>
      <c r="G26" s="1567"/>
      <c r="H26" s="1567"/>
      <c r="I26" s="1567"/>
      <c r="J26" s="1567"/>
      <c r="K26" s="1567"/>
      <c r="L26" s="1567"/>
      <c r="M26" s="1567"/>
      <c r="N26" s="1567"/>
      <c r="O26" s="1567"/>
      <c r="P26" s="1567"/>
      <c r="Q26" s="1568"/>
      <c r="R26" s="186"/>
      <c r="S26" s="186"/>
      <c r="T26" s="186"/>
      <c r="U26" s="186"/>
      <c r="V26" s="186"/>
      <c r="W26" s="186"/>
      <c r="X26" s="186"/>
      <c r="Y26" s="186"/>
      <c r="AE26" s="415"/>
      <c r="AF26" s="415"/>
      <c r="AG26" s="415"/>
      <c r="AH26" s="415"/>
      <c r="AI26" s="415"/>
      <c r="AJ26" s="415"/>
      <c r="AK26" s="415"/>
      <c r="AL26" s="415"/>
      <c r="AM26" s="415"/>
      <c r="AN26" s="415"/>
    </row>
    <row r="27" spans="1:40" s="19" customFormat="1" ht="15.75" hidden="1" outlineLevel="1" x14ac:dyDescent="0.25">
      <c r="B27" s="464"/>
      <c r="C27" s="465"/>
      <c r="D27" s="465"/>
      <c r="E27" s="465"/>
      <c r="F27" s="465"/>
      <c r="G27" s="465"/>
      <c r="H27" s="465"/>
      <c r="I27" s="465"/>
      <c r="J27" s="465"/>
      <c r="K27" s="465"/>
      <c r="L27" s="465"/>
      <c r="M27" s="465"/>
      <c r="N27" s="465"/>
      <c r="O27" s="465"/>
      <c r="P27" s="465"/>
      <c r="Q27" s="463"/>
      <c r="R27" s="186"/>
      <c r="S27" s="186"/>
      <c r="T27" s="186"/>
      <c r="U27" s="186"/>
      <c r="V27" s="186"/>
      <c r="W27" s="186"/>
      <c r="X27" s="186"/>
      <c r="Y27" s="186"/>
      <c r="AE27" s="444"/>
      <c r="AF27" s="444"/>
      <c r="AG27" s="444"/>
      <c r="AH27" s="444"/>
      <c r="AI27" s="444"/>
      <c r="AJ27" s="444"/>
      <c r="AK27" s="444"/>
      <c r="AL27" s="444"/>
      <c r="AM27" s="444"/>
      <c r="AN27" s="444"/>
    </row>
    <row r="28" spans="1:40" s="19" customFormat="1" ht="16.5" hidden="1" outlineLevel="1" thickBot="1" x14ac:dyDescent="0.3">
      <c r="B28" s="322"/>
      <c r="C28" s="25" t="s">
        <v>0</v>
      </c>
      <c r="D28" s="323"/>
      <c r="E28" s="323"/>
      <c r="F28" s="323"/>
      <c r="G28" s="323"/>
      <c r="H28" s="323"/>
      <c r="I28" s="323"/>
      <c r="J28" s="323"/>
      <c r="K28" s="323"/>
      <c r="L28" s="323"/>
      <c r="M28" s="323"/>
      <c r="N28" s="323"/>
      <c r="O28" s="323"/>
      <c r="P28" s="323"/>
      <c r="Q28" s="324"/>
      <c r="R28" s="186"/>
      <c r="S28" s="186"/>
      <c r="T28" s="186"/>
      <c r="U28" s="186"/>
      <c r="V28" s="186"/>
      <c r="W28" s="186"/>
      <c r="X28" s="186"/>
      <c r="Y28" s="186"/>
      <c r="AE28" s="415"/>
      <c r="AF28" s="415"/>
      <c r="AG28" s="415"/>
      <c r="AH28" s="415"/>
      <c r="AI28" s="415"/>
      <c r="AJ28" s="415"/>
      <c r="AK28" s="415"/>
      <c r="AL28" s="415"/>
      <c r="AM28" s="415"/>
      <c r="AN28" s="415"/>
    </row>
    <row r="29" spans="1:40" ht="15.75" hidden="1" outlineLevel="2" thickBot="1" x14ac:dyDescent="0.3">
      <c r="B29" s="92"/>
      <c r="C29" s="353" t="s">
        <v>1288</v>
      </c>
      <c r="D29" s="323"/>
      <c r="E29" s="323"/>
      <c r="F29" s="323"/>
      <c r="G29" s="1"/>
      <c r="H29" s="1"/>
      <c r="I29" s="1"/>
      <c r="J29" s="1"/>
      <c r="K29" s="1"/>
      <c r="L29" s="1"/>
      <c r="M29" s="1"/>
      <c r="N29" s="1"/>
      <c r="O29" s="1"/>
      <c r="P29" s="1"/>
      <c r="Q29" s="93"/>
    </row>
    <row r="30" spans="1:40" ht="18.75" hidden="1" outlineLevel="2" x14ac:dyDescent="0.35">
      <c r="B30" s="92"/>
      <c r="C30" s="403" t="s">
        <v>1287</v>
      </c>
      <c r="D30" s="1111" t="str">
        <f>IFERROR('Apoio Regulação de Polinização'!O51,"-")</f>
        <v>-</v>
      </c>
      <c r="E30" s="187"/>
      <c r="F30" s="1"/>
      <c r="G30" s="1"/>
      <c r="H30" s="1"/>
      <c r="I30" s="1"/>
      <c r="J30" s="1"/>
      <c r="K30" s="1"/>
      <c r="L30" s="1"/>
      <c r="M30" s="1"/>
      <c r="N30" s="1"/>
      <c r="O30" s="1"/>
      <c r="P30" s="1"/>
      <c r="Q30" s="93"/>
    </row>
    <row r="31" spans="1:40" ht="16.5" hidden="1" outlineLevel="2" thickBot="1" x14ac:dyDescent="0.3">
      <c r="B31" s="92"/>
      <c r="C31" s="188" t="s">
        <v>506</v>
      </c>
      <c r="D31" s="1087" t="str">
        <f>IF(D30="-","-",K18*K19*K14+K20)</f>
        <v>-</v>
      </c>
      <c r="E31" s="548" t="s">
        <v>13</v>
      </c>
      <c r="F31" s="326"/>
      <c r="G31" s="1"/>
      <c r="H31" s="1"/>
      <c r="I31" s="1"/>
      <c r="J31" s="1"/>
      <c r="K31" s="1"/>
      <c r="L31" s="1"/>
      <c r="M31" s="1"/>
      <c r="N31" s="1"/>
      <c r="O31" s="1"/>
      <c r="P31" s="1"/>
      <c r="Q31" s="93"/>
    </row>
    <row r="32" spans="1:40" ht="15.75" hidden="1" outlineLevel="2" x14ac:dyDescent="0.25">
      <c r="B32" s="92"/>
      <c r="C32" s="401"/>
      <c r="D32" s="546"/>
      <c r="E32" s="546"/>
      <c r="F32" s="547"/>
      <c r="G32" s="1"/>
      <c r="H32" s="1"/>
      <c r="I32" s="1"/>
      <c r="J32" s="1"/>
      <c r="K32" s="1"/>
      <c r="L32" s="1"/>
      <c r="M32" s="1"/>
      <c r="N32" s="1"/>
      <c r="O32" s="1"/>
      <c r="P32" s="1"/>
      <c r="Q32" s="93"/>
      <c r="AE32" s="444"/>
      <c r="AF32" s="444"/>
      <c r="AG32" s="444"/>
      <c r="AH32" s="444"/>
      <c r="AI32" s="444"/>
      <c r="AJ32" s="444"/>
      <c r="AK32" s="444"/>
      <c r="AL32" s="444"/>
      <c r="AM32" s="444"/>
      <c r="AN32" s="444"/>
    </row>
    <row r="33" spans="2:40" ht="15.75" hidden="1" outlineLevel="2" x14ac:dyDescent="0.25">
      <c r="B33" s="92"/>
      <c r="C33" s="328" t="s">
        <v>1316</v>
      </c>
      <c r="D33" s="1"/>
      <c r="E33" s="329"/>
      <c r="F33" s="329"/>
      <c r="G33" s="329"/>
      <c r="H33" s="329"/>
      <c r="I33" s="329"/>
      <c r="J33" s="329"/>
      <c r="K33" s="329"/>
      <c r="L33" s="329"/>
      <c r="M33" s="329"/>
      <c r="N33" s="329"/>
      <c r="O33" s="329"/>
      <c r="P33" s="1"/>
      <c r="Q33" s="93"/>
    </row>
    <row r="34" spans="2:40" ht="16.5" hidden="1" outlineLevel="2" thickBot="1" x14ac:dyDescent="0.3">
      <c r="B34" s="92"/>
      <c r="C34" s="353" t="s">
        <v>1172</v>
      </c>
      <c r="D34" s="325"/>
      <c r="E34" s="329"/>
      <c r="F34" s="329"/>
      <c r="G34" s="329"/>
      <c r="H34" s="329"/>
      <c r="I34" s="329"/>
      <c r="J34" s="329"/>
      <c r="K34" s="329"/>
      <c r="L34" s="329"/>
      <c r="M34" s="329"/>
      <c r="N34" s="329"/>
      <c r="O34" s="351"/>
      <c r="P34" s="1"/>
      <c r="Q34" s="93"/>
    </row>
    <row r="35" spans="2:40" hidden="1" outlineLevel="2" x14ac:dyDescent="0.25">
      <c r="B35" s="92"/>
      <c r="C35" s="1766" t="s">
        <v>1124</v>
      </c>
      <c r="D35" s="1770" t="s">
        <v>1123</v>
      </c>
      <c r="E35" s="1770"/>
      <c r="F35" s="1770"/>
      <c r="G35" s="1770"/>
      <c r="H35" s="1770"/>
      <c r="I35" s="1770"/>
      <c r="J35" s="1770"/>
      <c r="K35" s="1770"/>
      <c r="L35" s="1770"/>
      <c r="M35" s="1770"/>
      <c r="N35" s="1770"/>
      <c r="O35" s="1778" t="s">
        <v>1292</v>
      </c>
      <c r="P35" s="1"/>
      <c r="Q35" s="93"/>
    </row>
    <row r="36" spans="2:40" s="8" customFormat="1" hidden="1" outlineLevel="2" x14ac:dyDescent="0.25">
      <c r="B36" s="335"/>
      <c r="C36" s="1767"/>
      <c r="D36" s="354" t="s">
        <v>1173</v>
      </c>
      <c r="E36" s="355">
        <v>1</v>
      </c>
      <c r="F36" s="355">
        <v>2</v>
      </c>
      <c r="G36" s="355">
        <v>3</v>
      </c>
      <c r="H36" s="355">
        <v>4</v>
      </c>
      <c r="I36" s="355">
        <v>5</v>
      </c>
      <c r="J36" s="355">
        <v>6</v>
      </c>
      <c r="K36" s="355">
        <v>7</v>
      </c>
      <c r="L36" s="355">
        <v>8</v>
      </c>
      <c r="M36" s="355">
        <v>9</v>
      </c>
      <c r="N36" s="355">
        <v>10</v>
      </c>
      <c r="O36" s="1779"/>
      <c r="P36" s="345"/>
      <c r="Q36" s="346"/>
      <c r="AE36" s="448"/>
      <c r="AF36" s="448"/>
      <c r="AG36" s="448"/>
      <c r="AH36" s="448"/>
      <c r="AI36" s="448"/>
      <c r="AJ36" s="448"/>
      <c r="AK36" s="448"/>
      <c r="AL36" s="448"/>
      <c r="AM36" s="448"/>
      <c r="AN36" s="448"/>
    </row>
    <row r="37" spans="2:40" ht="15" hidden="1" customHeight="1" outlineLevel="2" x14ac:dyDescent="0.25">
      <c r="B37" s="92"/>
      <c r="C37" s="486"/>
      <c r="D37" s="338">
        <v>1</v>
      </c>
      <c r="E37" s="559"/>
      <c r="F37" s="559"/>
      <c r="G37" s="559"/>
      <c r="H37" s="559"/>
      <c r="I37" s="559"/>
      <c r="J37" s="559"/>
      <c r="K37" s="559"/>
      <c r="L37" s="559"/>
      <c r="M37" s="559"/>
      <c r="N37" s="559"/>
      <c r="O37" s="563">
        <f t="shared" ref="O37:O46" si="0">SUM(E37:N37)</f>
        <v>0</v>
      </c>
      <c r="P37" s="1"/>
      <c r="Q37" s="93"/>
    </row>
    <row r="38" spans="2:40" ht="15" hidden="1" customHeight="1" outlineLevel="2" x14ac:dyDescent="0.25">
      <c r="B38" s="92"/>
      <c r="C38" s="486"/>
      <c r="D38" s="338">
        <v>2</v>
      </c>
      <c r="E38" s="559"/>
      <c r="F38" s="559"/>
      <c r="G38" s="559"/>
      <c r="H38" s="559"/>
      <c r="I38" s="559"/>
      <c r="J38" s="559"/>
      <c r="K38" s="559"/>
      <c r="L38" s="559"/>
      <c r="M38" s="559"/>
      <c r="N38" s="559"/>
      <c r="O38" s="563">
        <f t="shared" si="0"/>
        <v>0</v>
      </c>
      <c r="P38" s="1"/>
      <c r="Q38" s="93"/>
    </row>
    <row r="39" spans="2:40" ht="15" hidden="1" customHeight="1" outlineLevel="2" x14ac:dyDescent="0.25">
      <c r="B39" s="92"/>
      <c r="C39" s="486"/>
      <c r="D39" s="338">
        <v>3</v>
      </c>
      <c r="E39" s="559"/>
      <c r="F39" s="559"/>
      <c r="G39" s="559"/>
      <c r="H39" s="559"/>
      <c r="I39" s="559"/>
      <c r="J39" s="559"/>
      <c r="K39" s="559"/>
      <c r="L39" s="559"/>
      <c r="M39" s="559"/>
      <c r="N39" s="559"/>
      <c r="O39" s="563">
        <f t="shared" si="0"/>
        <v>0</v>
      </c>
      <c r="P39" s="1"/>
      <c r="Q39" s="93"/>
    </row>
    <row r="40" spans="2:40" ht="15" hidden="1" customHeight="1" outlineLevel="2" x14ac:dyDescent="0.25">
      <c r="B40" s="92"/>
      <c r="C40" s="486"/>
      <c r="D40" s="338">
        <v>4</v>
      </c>
      <c r="E40" s="559"/>
      <c r="F40" s="559"/>
      <c r="G40" s="559"/>
      <c r="H40" s="559"/>
      <c r="I40" s="559"/>
      <c r="J40" s="559"/>
      <c r="K40" s="559"/>
      <c r="L40" s="559"/>
      <c r="M40" s="559"/>
      <c r="N40" s="559"/>
      <c r="O40" s="563">
        <f t="shared" si="0"/>
        <v>0</v>
      </c>
      <c r="P40" s="1"/>
      <c r="Q40" s="93"/>
    </row>
    <row r="41" spans="2:40" ht="15" hidden="1" customHeight="1" outlineLevel="2" x14ac:dyDescent="0.25">
      <c r="B41" s="92"/>
      <c r="C41" s="486"/>
      <c r="D41" s="338">
        <v>5</v>
      </c>
      <c r="E41" s="559"/>
      <c r="F41" s="559"/>
      <c r="G41" s="559"/>
      <c r="H41" s="559"/>
      <c r="I41" s="559"/>
      <c r="J41" s="559"/>
      <c r="K41" s="559"/>
      <c r="L41" s="559"/>
      <c r="M41" s="559"/>
      <c r="N41" s="559"/>
      <c r="O41" s="563">
        <f t="shared" si="0"/>
        <v>0</v>
      </c>
      <c r="P41" s="1"/>
      <c r="Q41" s="93"/>
    </row>
    <row r="42" spans="2:40" ht="15" hidden="1" customHeight="1" outlineLevel="2" x14ac:dyDescent="0.25">
      <c r="B42" s="92"/>
      <c r="C42" s="486"/>
      <c r="D42" s="338">
        <v>6</v>
      </c>
      <c r="E42" s="559"/>
      <c r="F42" s="559"/>
      <c r="G42" s="559"/>
      <c r="H42" s="559"/>
      <c r="I42" s="559"/>
      <c r="J42" s="559"/>
      <c r="K42" s="559"/>
      <c r="L42" s="559"/>
      <c r="M42" s="559"/>
      <c r="N42" s="559"/>
      <c r="O42" s="563">
        <f t="shared" si="0"/>
        <v>0</v>
      </c>
      <c r="P42" s="1"/>
      <c r="Q42" s="93"/>
    </row>
    <row r="43" spans="2:40" ht="15" hidden="1" customHeight="1" outlineLevel="2" x14ac:dyDescent="0.25">
      <c r="B43" s="92"/>
      <c r="C43" s="486"/>
      <c r="D43" s="338">
        <v>7</v>
      </c>
      <c r="E43" s="559"/>
      <c r="F43" s="559"/>
      <c r="G43" s="559"/>
      <c r="H43" s="559"/>
      <c r="I43" s="559"/>
      <c r="J43" s="559"/>
      <c r="K43" s="559"/>
      <c r="L43" s="559"/>
      <c r="M43" s="559"/>
      <c r="N43" s="559"/>
      <c r="O43" s="563">
        <f t="shared" si="0"/>
        <v>0</v>
      </c>
      <c r="P43" s="1"/>
      <c r="Q43" s="93"/>
    </row>
    <row r="44" spans="2:40" ht="15" hidden="1" customHeight="1" outlineLevel="2" x14ac:dyDescent="0.25">
      <c r="B44" s="92"/>
      <c r="C44" s="486"/>
      <c r="D44" s="338">
        <v>8</v>
      </c>
      <c r="E44" s="559"/>
      <c r="F44" s="559"/>
      <c r="G44" s="559"/>
      <c r="H44" s="559"/>
      <c r="I44" s="559"/>
      <c r="J44" s="559"/>
      <c r="K44" s="559"/>
      <c r="L44" s="559"/>
      <c r="M44" s="559"/>
      <c r="N44" s="559"/>
      <c r="O44" s="563">
        <f t="shared" si="0"/>
        <v>0</v>
      </c>
      <c r="P44" s="1"/>
      <c r="Q44" s="93"/>
    </row>
    <row r="45" spans="2:40" ht="15" hidden="1" customHeight="1" outlineLevel="2" x14ac:dyDescent="0.25">
      <c r="B45" s="92"/>
      <c r="C45" s="486"/>
      <c r="D45" s="338">
        <v>9</v>
      </c>
      <c r="E45" s="559"/>
      <c r="F45" s="559"/>
      <c r="G45" s="559"/>
      <c r="H45" s="559"/>
      <c r="I45" s="559"/>
      <c r="J45" s="559"/>
      <c r="K45" s="559"/>
      <c r="L45" s="559"/>
      <c r="M45" s="559"/>
      <c r="N45" s="559"/>
      <c r="O45" s="563">
        <f t="shared" si="0"/>
        <v>0</v>
      </c>
      <c r="P45" s="1"/>
      <c r="Q45" s="93"/>
    </row>
    <row r="46" spans="2:40" ht="15" hidden="1" customHeight="1" outlineLevel="2" thickBot="1" x14ac:dyDescent="0.3">
      <c r="B46" s="92"/>
      <c r="C46" s="487"/>
      <c r="D46" s="339">
        <v>10</v>
      </c>
      <c r="E46" s="560"/>
      <c r="F46" s="560"/>
      <c r="G46" s="560"/>
      <c r="H46" s="560"/>
      <c r="I46" s="560"/>
      <c r="J46" s="560"/>
      <c r="K46" s="560"/>
      <c r="L46" s="560"/>
      <c r="M46" s="560"/>
      <c r="N46" s="560"/>
      <c r="O46" s="564">
        <f t="shared" si="0"/>
        <v>0</v>
      </c>
      <c r="P46" s="1"/>
      <c r="Q46" s="93"/>
    </row>
    <row r="47" spans="2:40" ht="16.5" hidden="1" outlineLevel="1" collapsed="1" thickBot="1" x14ac:dyDescent="0.3">
      <c r="B47" s="92"/>
      <c r="C47" s="1768" t="s">
        <v>1153</v>
      </c>
      <c r="D47" s="1769"/>
      <c r="E47" s="1757">
        <f>SUM(O37:O46)</f>
        <v>0</v>
      </c>
      <c r="F47" s="1757"/>
      <c r="G47" s="1758"/>
      <c r="H47" s="356"/>
      <c r="I47" s="356"/>
      <c r="J47" s="356"/>
      <c r="K47" s="356"/>
      <c r="L47" s="356"/>
      <c r="M47" s="356"/>
      <c r="N47" s="356"/>
      <c r="O47" s="356"/>
      <c r="P47" s="1"/>
      <c r="Q47" s="93"/>
    </row>
    <row r="48" spans="2:40" hidden="1" outlineLevel="1" x14ac:dyDescent="0.25">
      <c r="B48" s="92"/>
      <c r="C48" s="1"/>
      <c r="D48" s="1"/>
      <c r="E48" s="1"/>
      <c r="F48" s="1"/>
      <c r="G48" s="1"/>
      <c r="H48" s="1"/>
      <c r="I48" s="1"/>
      <c r="J48" s="1"/>
      <c r="K48" s="1"/>
      <c r="L48" s="1"/>
      <c r="M48" s="1"/>
      <c r="N48" s="1"/>
      <c r="O48" s="1"/>
      <c r="P48" s="1"/>
      <c r="Q48" s="93"/>
    </row>
    <row r="49" spans="2:40" s="19" customFormat="1" ht="16.5" hidden="1" outlineLevel="1" thickBot="1" x14ac:dyDescent="0.3">
      <c r="B49" s="322"/>
      <c r="C49" s="25" t="s">
        <v>1</v>
      </c>
      <c r="D49" s="323"/>
      <c r="E49" s="323"/>
      <c r="F49" s="323"/>
      <c r="G49" s="323"/>
      <c r="H49" s="323"/>
      <c r="I49" s="323"/>
      <c r="J49" s="323"/>
      <c r="K49" s="323"/>
      <c r="L49" s="323"/>
      <c r="M49" s="323"/>
      <c r="N49" s="323"/>
      <c r="O49" s="323"/>
      <c r="P49" s="323"/>
      <c r="Q49" s="324"/>
      <c r="R49" s="186"/>
      <c r="S49" s="186"/>
      <c r="T49" s="186"/>
      <c r="U49" s="186"/>
      <c r="V49" s="186"/>
      <c r="W49" s="186"/>
      <c r="X49" s="186"/>
      <c r="Y49" s="186"/>
      <c r="AE49" s="415"/>
      <c r="AF49" s="415"/>
      <c r="AG49" s="415"/>
      <c r="AH49" s="415"/>
      <c r="AI49" s="415"/>
      <c r="AJ49" s="415"/>
      <c r="AK49" s="415"/>
      <c r="AL49" s="415"/>
      <c r="AM49" s="415"/>
      <c r="AN49" s="415"/>
    </row>
    <row r="50" spans="2:40" ht="18.75" hidden="1" outlineLevel="2" x14ac:dyDescent="0.35">
      <c r="B50" s="92"/>
      <c r="C50" s="551" t="s">
        <v>1218</v>
      </c>
      <c r="D50" s="1112" t="str">
        <f>IFERROR(K22/K14,"")</f>
        <v/>
      </c>
      <c r="E50" s="609"/>
      <c r="F50" s="330"/>
      <c r="G50" s="1"/>
      <c r="H50" s="1"/>
      <c r="I50" s="1"/>
      <c r="J50" s="1"/>
      <c r="K50" s="1"/>
      <c r="L50" s="1"/>
      <c r="M50" s="1"/>
      <c r="N50" s="1"/>
      <c r="O50" s="1"/>
      <c r="P50" s="1"/>
      <c r="Q50" s="93"/>
    </row>
    <row r="51" spans="2:40" ht="16.5" hidden="1" outlineLevel="2" thickBot="1" x14ac:dyDescent="0.3">
      <c r="B51" s="92"/>
      <c r="C51" s="552" t="s">
        <v>506</v>
      </c>
      <c r="D51" s="553" t="str">
        <f>IFERROR(D50*K23*K14+K24,"")</f>
        <v/>
      </c>
      <c r="E51" s="554" t="s">
        <v>13</v>
      </c>
      <c r="F51" s="1"/>
      <c r="G51" s="1"/>
      <c r="H51" s="1"/>
      <c r="I51" s="1"/>
      <c r="J51" s="1"/>
      <c r="K51" s="1"/>
      <c r="L51" s="1"/>
      <c r="M51" s="1"/>
      <c r="N51" s="1"/>
      <c r="O51" s="1"/>
      <c r="P51" s="1"/>
      <c r="Q51" s="93"/>
    </row>
    <row r="52" spans="2:40" hidden="1" outlineLevel="2" x14ac:dyDescent="0.25">
      <c r="B52" s="92"/>
      <c r="C52" s="177"/>
      <c r="D52" s="1507"/>
      <c r="E52" s="327"/>
      <c r="F52" s="327"/>
      <c r="G52" s="1"/>
      <c r="H52" s="1"/>
      <c r="I52" s="1"/>
      <c r="J52" s="1"/>
      <c r="K52" s="1"/>
      <c r="L52" s="1"/>
      <c r="M52" s="1"/>
      <c r="N52" s="1"/>
      <c r="O52" s="1"/>
      <c r="P52" s="1"/>
      <c r="Q52" s="93"/>
    </row>
    <row r="53" spans="2:40" ht="15.75" hidden="1" outlineLevel="2" x14ac:dyDescent="0.25">
      <c r="B53" s="92"/>
      <c r="C53" s="328" t="s">
        <v>1126</v>
      </c>
      <c r="D53" s="1"/>
      <c r="E53" s="1"/>
      <c r="F53" s="1"/>
      <c r="G53" s="1"/>
      <c r="H53" s="1"/>
      <c r="I53" s="1"/>
      <c r="J53" s="1"/>
      <c r="K53" s="1"/>
      <c r="L53" s="1"/>
      <c r="M53" s="1"/>
      <c r="N53" s="1"/>
      <c r="O53" s="1"/>
      <c r="P53" s="1"/>
      <c r="Q53" s="93"/>
    </row>
    <row r="54" spans="2:40" ht="16.5" hidden="1" outlineLevel="2" thickBot="1" x14ac:dyDescent="0.3">
      <c r="B54" s="92"/>
      <c r="C54" s="357" t="s">
        <v>1174</v>
      </c>
      <c r="D54" s="331"/>
      <c r="E54" s="1"/>
      <c r="F54" s="1"/>
      <c r="G54" s="1"/>
      <c r="H54" s="1"/>
      <c r="I54" s="1"/>
      <c r="J54" s="1"/>
      <c r="K54" s="1"/>
      <c r="L54" s="1"/>
      <c r="M54" s="1"/>
      <c r="N54" s="1"/>
      <c r="O54" s="1"/>
      <c r="P54" s="1"/>
      <c r="Q54" s="93"/>
    </row>
    <row r="55" spans="2:40" hidden="1" outlineLevel="2" x14ac:dyDescent="0.25">
      <c r="B55" s="92"/>
      <c r="C55" s="1761" t="s">
        <v>1124</v>
      </c>
      <c r="D55" s="1763" t="s">
        <v>1123</v>
      </c>
      <c r="E55" s="1763"/>
      <c r="F55" s="1763"/>
      <c r="G55" s="1763"/>
      <c r="H55" s="1763"/>
      <c r="I55" s="1763"/>
      <c r="J55" s="1763"/>
      <c r="K55" s="1763"/>
      <c r="L55" s="1763"/>
      <c r="M55" s="1763"/>
      <c r="N55" s="1763"/>
      <c r="O55" s="1780" t="s">
        <v>1291</v>
      </c>
      <c r="P55" s="1"/>
      <c r="Q55" s="93"/>
    </row>
    <row r="56" spans="2:40" hidden="1" outlineLevel="2" x14ac:dyDescent="0.25">
      <c r="B56" s="92"/>
      <c r="C56" s="1762"/>
      <c r="D56" s="358" t="s">
        <v>1175</v>
      </c>
      <c r="E56" s="340">
        <v>1</v>
      </c>
      <c r="F56" s="340">
        <v>2</v>
      </c>
      <c r="G56" s="340">
        <v>3</v>
      </c>
      <c r="H56" s="340">
        <v>4</v>
      </c>
      <c r="I56" s="340">
        <v>5</v>
      </c>
      <c r="J56" s="340">
        <v>6</v>
      </c>
      <c r="K56" s="340">
        <v>7</v>
      </c>
      <c r="L56" s="340">
        <v>8</v>
      </c>
      <c r="M56" s="340">
        <v>9</v>
      </c>
      <c r="N56" s="340">
        <v>10</v>
      </c>
      <c r="O56" s="1781"/>
      <c r="P56" s="1"/>
      <c r="Q56" s="93"/>
    </row>
    <row r="57" spans="2:40" ht="15" hidden="1" customHeight="1" outlineLevel="2" x14ac:dyDescent="0.25">
      <c r="B57" s="92"/>
      <c r="C57" s="486"/>
      <c r="D57" s="340">
        <v>1</v>
      </c>
      <c r="E57" s="559"/>
      <c r="F57" s="559"/>
      <c r="G57" s="559"/>
      <c r="H57" s="559"/>
      <c r="I57" s="559"/>
      <c r="J57" s="559"/>
      <c r="K57" s="559"/>
      <c r="L57" s="559"/>
      <c r="M57" s="559"/>
      <c r="N57" s="559"/>
      <c r="O57" s="561">
        <f t="shared" ref="O57:O66" si="1">SUM(E57:N57)</f>
        <v>0</v>
      </c>
      <c r="P57" s="1"/>
      <c r="Q57" s="93"/>
    </row>
    <row r="58" spans="2:40" ht="15" hidden="1" customHeight="1" outlineLevel="2" x14ac:dyDescent="0.25">
      <c r="B58" s="92"/>
      <c r="C58" s="486"/>
      <c r="D58" s="340">
        <v>2</v>
      </c>
      <c r="E58" s="559"/>
      <c r="F58" s="559"/>
      <c r="G58" s="559"/>
      <c r="H58" s="559"/>
      <c r="I58" s="559"/>
      <c r="J58" s="559"/>
      <c r="K58" s="559"/>
      <c r="L58" s="559"/>
      <c r="M58" s="559"/>
      <c r="N58" s="559"/>
      <c r="O58" s="561">
        <f t="shared" si="1"/>
        <v>0</v>
      </c>
      <c r="P58" s="1"/>
      <c r="Q58" s="93"/>
    </row>
    <row r="59" spans="2:40" ht="15" hidden="1" customHeight="1" outlineLevel="2" x14ac:dyDescent="0.25">
      <c r="B59" s="92"/>
      <c r="C59" s="486"/>
      <c r="D59" s="340">
        <v>3</v>
      </c>
      <c r="E59" s="559"/>
      <c r="F59" s="559"/>
      <c r="G59" s="559"/>
      <c r="H59" s="559"/>
      <c r="I59" s="559"/>
      <c r="J59" s="559"/>
      <c r="K59" s="559"/>
      <c r="L59" s="559"/>
      <c r="M59" s="559"/>
      <c r="N59" s="559"/>
      <c r="O59" s="561">
        <f t="shared" si="1"/>
        <v>0</v>
      </c>
      <c r="P59" s="1"/>
      <c r="Q59" s="93"/>
    </row>
    <row r="60" spans="2:40" ht="15" hidden="1" customHeight="1" outlineLevel="2" x14ac:dyDescent="0.25">
      <c r="B60" s="92"/>
      <c r="C60" s="486"/>
      <c r="D60" s="340">
        <v>4</v>
      </c>
      <c r="E60" s="559"/>
      <c r="F60" s="559"/>
      <c r="G60" s="559"/>
      <c r="H60" s="559"/>
      <c r="I60" s="559"/>
      <c r="J60" s="559"/>
      <c r="K60" s="559"/>
      <c r="L60" s="559"/>
      <c r="M60" s="559"/>
      <c r="N60" s="559"/>
      <c r="O60" s="561">
        <f t="shared" si="1"/>
        <v>0</v>
      </c>
      <c r="P60" s="1"/>
      <c r="Q60" s="93"/>
    </row>
    <row r="61" spans="2:40" ht="15" hidden="1" customHeight="1" outlineLevel="2" x14ac:dyDescent="0.25">
      <c r="B61" s="92"/>
      <c r="C61" s="486"/>
      <c r="D61" s="340">
        <v>5</v>
      </c>
      <c r="E61" s="559"/>
      <c r="F61" s="559"/>
      <c r="G61" s="559"/>
      <c r="H61" s="559"/>
      <c r="I61" s="559"/>
      <c r="J61" s="559"/>
      <c r="K61" s="559"/>
      <c r="L61" s="559"/>
      <c r="M61" s="559"/>
      <c r="N61" s="559"/>
      <c r="O61" s="561">
        <f t="shared" si="1"/>
        <v>0</v>
      </c>
      <c r="P61" s="1"/>
      <c r="Q61" s="93"/>
    </row>
    <row r="62" spans="2:40" ht="15" hidden="1" customHeight="1" outlineLevel="2" x14ac:dyDescent="0.25">
      <c r="B62" s="92"/>
      <c r="C62" s="486"/>
      <c r="D62" s="340">
        <v>6</v>
      </c>
      <c r="E62" s="559"/>
      <c r="F62" s="559"/>
      <c r="G62" s="559"/>
      <c r="H62" s="559"/>
      <c r="I62" s="559"/>
      <c r="J62" s="559"/>
      <c r="K62" s="559"/>
      <c r="L62" s="559"/>
      <c r="M62" s="559"/>
      <c r="N62" s="559"/>
      <c r="O62" s="561">
        <f t="shared" si="1"/>
        <v>0</v>
      </c>
      <c r="P62" s="1"/>
      <c r="Q62" s="93"/>
    </row>
    <row r="63" spans="2:40" ht="15" hidden="1" customHeight="1" outlineLevel="2" x14ac:dyDescent="0.25">
      <c r="B63" s="92"/>
      <c r="C63" s="486"/>
      <c r="D63" s="340">
        <v>7</v>
      </c>
      <c r="E63" s="559"/>
      <c r="F63" s="559"/>
      <c r="G63" s="559"/>
      <c r="H63" s="559"/>
      <c r="I63" s="559"/>
      <c r="J63" s="559"/>
      <c r="K63" s="559"/>
      <c r="L63" s="559"/>
      <c r="M63" s="559"/>
      <c r="N63" s="559"/>
      <c r="O63" s="561">
        <f t="shared" si="1"/>
        <v>0</v>
      </c>
      <c r="P63" s="1"/>
      <c r="Q63" s="93"/>
    </row>
    <row r="64" spans="2:40" hidden="1" outlineLevel="2" x14ac:dyDescent="0.25">
      <c r="B64" s="92"/>
      <c r="C64" s="486"/>
      <c r="D64" s="340">
        <v>8</v>
      </c>
      <c r="E64" s="559"/>
      <c r="F64" s="559"/>
      <c r="G64" s="559"/>
      <c r="H64" s="559"/>
      <c r="I64" s="559"/>
      <c r="J64" s="559"/>
      <c r="K64" s="559"/>
      <c r="L64" s="559"/>
      <c r="M64" s="559"/>
      <c r="N64" s="559"/>
      <c r="O64" s="561">
        <f t="shared" si="1"/>
        <v>0</v>
      </c>
      <c r="P64" s="1"/>
      <c r="Q64" s="93"/>
    </row>
    <row r="65" spans="1:48" ht="15" hidden="1" customHeight="1" outlineLevel="2" x14ac:dyDescent="0.25">
      <c r="B65" s="92"/>
      <c r="C65" s="486"/>
      <c r="D65" s="340">
        <v>9</v>
      </c>
      <c r="E65" s="559"/>
      <c r="F65" s="559"/>
      <c r="G65" s="559"/>
      <c r="H65" s="559"/>
      <c r="I65" s="559"/>
      <c r="J65" s="559"/>
      <c r="K65" s="559"/>
      <c r="L65" s="559"/>
      <c r="M65" s="559"/>
      <c r="N65" s="559"/>
      <c r="O65" s="561">
        <f t="shared" si="1"/>
        <v>0</v>
      </c>
      <c r="P65" s="1"/>
      <c r="Q65" s="93"/>
    </row>
    <row r="66" spans="1:48" ht="15" hidden="1" customHeight="1" outlineLevel="2" thickBot="1" x14ac:dyDescent="0.3">
      <c r="B66" s="92"/>
      <c r="C66" s="487"/>
      <c r="D66" s="341">
        <v>10</v>
      </c>
      <c r="E66" s="560"/>
      <c r="F66" s="560"/>
      <c r="G66" s="560"/>
      <c r="H66" s="560"/>
      <c r="I66" s="560"/>
      <c r="J66" s="560"/>
      <c r="K66" s="560"/>
      <c r="L66" s="560"/>
      <c r="M66" s="560"/>
      <c r="N66" s="560"/>
      <c r="O66" s="562">
        <f t="shared" si="1"/>
        <v>0</v>
      </c>
      <c r="P66" s="1"/>
      <c r="Q66" s="93"/>
    </row>
    <row r="67" spans="1:48" ht="15" hidden="1" customHeight="1" outlineLevel="1" collapsed="1" thickBot="1" x14ac:dyDescent="0.3">
      <c r="B67" s="92"/>
      <c r="C67" s="1753" t="s">
        <v>1153</v>
      </c>
      <c r="D67" s="1754"/>
      <c r="E67" s="1755">
        <f>SUM(O57:O66)</f>
        <v>0</v>
      </c>
      <c r="F67" s="1755"/>
      <c r="G67" s="1756"/>
      <c r="H67" s="1"/>
      <c r="I67" s="1"/>
      <c r="J67" s="1"/>
      <c r="K67" s="1"/>
      <c r="L67" s="1"/>
      <c r="M67" s="1"/>
      <c r="N67" s="1"/>
      <c r="O67" s="1"/>
      <c r="P67" s="1"/>
      <c r="Q67" s="93"/>
    </row>
    <row r="68" spans="1:48" hidden="1" outlineLevel="1" x14ac:dyDescent="0.25">
      <c r="B68" s="92"/>
      <c r="C68" s="1"/>
      <c r="D68" s="1"/>
      <c r="E68" s="1"/>
      <c r="F68" s="1"/>
      <c r="G68" s="1"/>
      <c r="H68" s="1"/>
      <c r="I68" s="1"/>
      <c r="J68" s="1"/>
      <c r="K68" s="1"/>
      <c r="L68" s="1"/>
      <c r="M68" s="1"/>
      <c r="N68" s="1"/>
      <c r="O68" s="1"/>
      <c r="P68" s="1"/>
      <c r="Q68" s="93"/>
    </row>
    <row r="69" spans="1:48" hidden="1" outlineLevel="1" x14ac:dyDescent="0.25">
      <c r="B69" s="92"/>
      <c r="C69" s="1"/>
      <c r="D69" s="1"/>
      <c r="E69" s="1"/>
      <c r="F69" s="1"/>
      <c r="G69" s="1"/>
      <c r="H69" s="1"/>
      <c r="I69" s="1"/>
      <c r="J69" s="1"/>
      <c r="K69" s="1"/>
      <c r="L69" s="1"/>
      <c r="M69" s="1"/>
      <c r="N69" s="1"/>
      <c r="O69" s="1"/>
      <c r="P69" s="1"/>
      <c r="Q69" s="93"/>
      <c r="AE69" s="1380"/>
      <c r="AF69" s="1380"/>
      <c r="AG69" s="1380"/>
      <c r="AH69" s="1380"/>
      <c r="AI69" s="1380"/>
      <c r="AJ69" s="1380"/>
      <c r="AK69" s="1380"/>
      <c r="AL69" s="1380"/>
      <c r="AM69" s="1380"/>
      <c r="AN69" s="1380"/>
    </row>
    <row r="70" spans="1:48" collapsed="1" x14ac:dyDescent="0.25">
      <c r="B70" s="92"/>
      <c r="C70" s="1"/>
      <c r="D70" s="1"/>
      <c r="E70" s="1"/>
      <c r="F70" s="1"/>
      <c r="G70" s="1"/>
      <c r="H70" s="1"/>
      <c r="I70" s="1"/>
      <c r="J70" s="1"/>
      <c r="K70" s="1"/>
      <c r="L70" s="1"/>
      <c r="M70" s="1"/>
      <c r="N70" s="1"/>
      <c r="O70" s="1"/>
      <c r="P70" s="1"/>
      <c r="Q70" s="93"/>
      <c r="AE70" s="921"/>
      <c r="AF70" s="921"/>
      <c r="AG70" s="921"/>
      <c r="AH70" s="921"/>
      <c r="AI70" s="921"/>
      <c r="AJ70" s="921"/>
      <c r="AK70" s="921"/>
      <c r="AL70" s="921"/>
      <c r="AM70" s="921"/>
      <c r="AN70" s="921"/>
    </row>
    <row r="71" spans="1:48" ht="15.75" x14ac:dyDescent="0.25">
      <c r="B71" s="92"/>
      <c r="C71" s="288" t="s">
        <v>1219</v>
      </c>
      <c r="D71" s="1"/>
      <c r="E71" s="1"/>
      <c r="F71" s="1"/>
      <c r="G71" s="1"/>
      <c r="H71" s="1"/>
      <c r="I71" s="1"/>
      <c r="J71" s="1"/>
      <c r="K71" s="1"/>
      <c r="L71" s="1"/>
      <c r="M71" s="1"/>
      <c r="N71" s="1"/>
      <c r="O71" s="1"/>
      <c r="P71" s="1"/>
      <c r="Q71" s="93"/>
    </row>
    <row r="72" spans="1:48" hidden="1" outlineLevel="1" x14ac:dyDescent="0.25">
      <c r="B72" s="92"/>
      <c r="C72" s="352" t="s">
        <v>1220</v>
      </c>
      <c r="D72" s="1"/>
      <c r="E72" s="1"/>
      <c r="F72" s="1"/>
      <c r="G72" s="1"/>
      <c r="H72" s="1"/>
      <c r="I72" s="1"/>
      <c r="J72" s="1"/>
      <c r="K72" s="1"/>
      <c r="L72" s="1"/>
      <c r="M72" s="1"/>
      <c r="N72" s="1"/>
      <c r="O72" s="1"/>
      <c r="P72" s="1"/>
      <c r="Q72" s="93"/>
    </row>
    <row r="73" spans="1:48" ht="29.25" hidden="1" customHeight="1" outlineLevel="1" x14ac:dyDescent="0.25">
      <c r="B73" s="92"/>
      <c r="C73" s="1782" t="s">
        <v>1181</v>
      </c>
      <c r="D73" s="1782"/>
      <c r="E73" s="1782"/>
      <c r="F73" s="1782"/>
      <c r="G73" s="1782"/>
      <c r="H73" s="1782"/>
      <c r="I73" s="1782"/>
      <c r="J73" s="1782"/>
      <c r="K73" s="1782"/>
      <c r="L73" s="1782"/>
      <c r="M73" s="1782"/>
      <c r="N73" s="1782"/>
      <c r="O73" s="1782"/>
      <c r="P73" s="1"/>
      <c r="Q73" s="93"/>
    </row>
    <row r="74" spans="1:48" hidden="1" outlineLevel="1" x14ac:dyDescent="0.25">
      <c r="B74" s="92"/>
      <c r="C74" s="226"/>
      <c r="D74" s="226"/>
      <c r="E74" s="226"/>
      <c r="F74" s="226"/>
      <c r="G74" s="226"/>
      <c r="H74" s="226"/>
      <c r="I74" s="226"/>
      <c r="J74" s="226"/>
      <c r="K74" s="226"/>
      <c r="L74" s="226"/>
      <c r="M74" s="226"/>
      <c r="N74" s="226"/>
      <c r="O74" s="1"/>
      <c r="P74" s="1"/>
      <c r="Q74" s="93"/>
    </row>
    <row r="75" spans="1:48" ht="14.25" hidden="1" customHeight="1" outlineLevel="1" x14ac:dyDescent="0.25">
      <c r="A75" s="93"/>
      <c r="B75" s="1566" t="s">
        <v>495</v>
      </c>
      <c r="C75" s="1567"/>
      <c r="D75" s="1567"/>
      <c r="E75" s="1567"/>
      <c r="F75" s="1567"/>
      <c r="G75" s="1567"/>
      <c r="H75" s="1567"/>
      <c r="I75" s="1567"/>
      <c r="J75" s="1567"/>
      <c r="K75" s="1567"/>
      <c r="L75" s="1567"/>
      <c r="M75" s="1567"/>
      <c r="N75" s="1567"/>
      <c r="O75" s="1567"/>
      <c r="P75" s="1567"/>
      <c r="Q75" s="1568"/>
      <c r="AV75" s="174"/>
    </row>
    <row r="76" spans="1:48" ht="14.25" hidden="1" customHeight="1" outlineLevel="2" thickBot="1" x14ac:dyDescent="0.3">
      <c r="A76" s="93"/>
      <c r="B76" s="1"/>
      <c r="C76" s="321"/>
      <c r="D76" s="321"/>
      <c r="E76" s="321"/>
      <c r="F76" s="321"/>
      <c r="G76" s="321"/>
      <c r="H76" s="321"/>
      <c r="I76" s="321"/>
      <c r="J76" s="321"/>
      <c r="K76" s="321"/>
      <c r="L76" s="321"/>
      <c r="M76" s="321"/>
      <c r="N76" s="1"/>
      <c r="O76" s="1"/>
      <c r="P76" s="1"/>
      <c r="Q76" s="93"/>
    </row>
    <row r="77" spans="1:48" ht="17.25" hidden="1" customHeight="1" outlineLevel="2" x14ac:dyDescent="0.25">
      <c r="A77" s="93"/>
      <c r="B77" s="1"/>
      <c r="C77" s="421"/>
      <c r="D77" s="189" t="s">
        <v>534</v>
      </c>
      <c r="E77" s="184"/>
      <c r="F77" s="184"/>
      <c r="G77" s="184"/>
      <c r="H77" s="191"/>
      <c r="I77" s="191"/>
      <c r="J77" s="190"/>
      <c r="K77" s="190" t="s">
        <v>504</v>
      </c>
      <c r="L77" s="190" t="s">
        <v>1127</v>
      </c>
      <c r="M77" s="425" t="s">
        <v>1156</v>
      </c>
      <c r="N77" s="426"/>
      <c r="O77" s="1"/>
      <c r="P77" s="1"/>
      <c r="Q77" s="93"/>
    </row>
    <row r="78" spans="1:48" ht="17.25" hidden="1" customHeight="1" outlineLevel="2" x14ac:dyDescent="0.25">
      <c r="A78" s="93"/>
      <c r="B78" s="1"/>
      <c r="C78" s="421"/>
      <c r="D78" s="422" t="s">
        <v>725</v>
      </c>
      <c r="E78" s="1787"/>
      <c r="F78" s="1787"/>
      <c r="G78" s="1"/>
      <c r="H78" s="583"/>
      <c r="I78" s="583"/>
      <c r="J78" s="421"/>
      <c r="K78" s="1790" t="s">
        <v>12</v>
      </c>
      <c r="L78" s="1790"/>
      <c r="M78" s="1788"/>
      <c r="N78" s="1789"/>
      <c r="O78" s="1"/>
      <c r="P78" s="1"/>
      <c r="Q78" s="93"/>
    </row>
    <row r="79" spans="1:48" hidden="1" outlineLevel="2" x14ac:dyDescent="0.25">
      <c r="A79" s="93"/>
      <c r="B79" s="1"/>
      <c r="C79" s="1793"/>
      <c r="D79" s="1808" t="s">
        <v>1122</v>
      </c>
      <c r="E79" s="1793"/>
      <c r="F79" s="1793"/>
      <c r="G79" s="1793"/>
      <c r="H79" s="1793"/>
      <c r="I79" s="1793"/>
      <c r="J79" s="1793"/>
      <c r="K79" s="470" t="s">
        <v>12</v>
      </c>
      <c r="L79" s="13"/>
      <c r="M79" s="1783"/>
      <c r="N79" s="1784"/>
      <c r="O79" s="1"/>
      <c r="P79" s="1"/>
      <c r="Q79" s="93"/>
      <c r="AV79" s="175"/>
    </row>
    <row r="80" spans="1:48" ht="15" hidden="1" customHeight="1" outlineLevel="2" x14ac:dyDescent="0.25">
      <c r="A80" s="93"/>
      <c r="B80" s="1"/>
      <c r="C80" s="1793"/>
      <c r="D80" s="1809" t="s">
        <v>1165</v>
      </c>
      <c r="E80" s="1810"/>
      <c r="F80" s="1810"/>
      <c r="G80" s="1810"/>
      <c r="H80" s="1810"/>
      <c r="I80" s="1810"/>
      <c r="J80" s="1810"/>
      <c r="K80" s="495"/>
      <c r="L80" s="13"/>
      <c r="M80" s="1783"/>
      <c r="N80" s="1784"/>
      <c r="O80" s="1"/>
      <c r="P80" s="1"/>
      <c r="Q80" s="93"/>
    </row>
    <row r="81" spans="1:48" ht="15" hidden="1" customHeight="1" outlineLevel="2" x14ac:dyDescent="0.25">
      <c r="A81" s="93"/>
      <c r="B81" s="1"/>
      <c r="C81" s="565"/>
      <c r="D81" s="427" t="s">
        <v>1221</v>
      </c>
      <c r="E81" s="418"/>
      <c r="F81" s="418"/>
      <c r="G81" s="418"/>
      <c r="H81" s="418"/>
      <c r="I81" s="418"/>
      <c r="J81" s="418"/>
      <c r="K81" s="556"/>
      <c r="L81" s="409" t="s">
        <v>1119</v>
      </c>
      <c r="M81" s="1796"/>
      <c r="N81" s="1797"/>
      <c r="O81" s="1"/>
      <c r="P81" s="1"/>
      <c r="Q81" s="93"/>
      <c r="AE81" s="444"/>
      <c r="AF81" s="444"/>
      <c r="AG81" s="444"/>
      <c r="AH81" s="444"/>
      <c r="AI81" s="444"/>
      <c r="AJ81" s="444"/>
      <c r="AK81" s="444"/>
      <c r="AL81" s="444"/>
      <c r="AM81" s="444"/>
      <c r="AN81" s="444"/>
    </row>
    <row r="82" spans="1:48" hidden="1" outlineLevel="2" x14ac:dyDescent="0.25">
      <c r="A82" s="93"/>
      <c r="B82" s="1"/>
      <c r="C82" s="567"/>
      <c r="D82" s="419" t="s">
        <v>1225</v>
      </c>
      <c r="E82" s="584"/>
      <c r="F82" s="584"/>
      <c r="G82" s="584"/>
      <c r="H82" s="584"/>
      <c r="I82" s="584"/>
      <c r="J82" s="584"/>
      <c r="K82" s="610"/>
      <c r="L82" s="1383" t="s">
        <v>1190</v>
      </c>
      <c r="M82" s="1791"/>
      <c r="N82" s="1792"/>
      <c r="O82" s="1"/>
      <c r="P82" s="1"/>
      <c r="Q82" s="93"/>
    </row>
    <row r="83" spans="1:48" hidden="1" outlineLevel="2" x14ac:dyDescent="0.25">
      <c r="A83" s="93"/>
      <c r="B83" s="1"/>
      <c r="C83" s="566"/>
      <c r="D83" s="423" t="s">
        <v>1226</v>
      </c>
      <c r="E83" s="418"/>
      <c r="F83" s="418"/>
      <c r="G83" s="418"/>
      <c r="H83" s="418"/>
      <c r="I83" s="418"/>
      <c r="J83" s="418"/>
      <c r="K83" s="494"/>
      <c r="L83" s="1383" t="s">
        <v>1319</v>
      </c>
      <c r="M83" s="1788"/>
      <c r="N83" s="1789"/>
      <c r="O83" s="1"/>
      <c r="P83" s="1"/>
      <c r="Q83" s="93"/>
      <c r="X83" s="19"/>
      <c r="Y83" s="19"/>
    </row>
    <row r="84" spans="1:48" hidden="1" outlineLevel="2" x14ac:dyDescent="0.25">
      <c r="A84" s="93"/>
      <c r="B84" s="1"/>
      <c r="C84" s="567"/>
      <c r="D84" s="536" t="s">
        <v>1347</v>
      </c>
      <c r="E84" s="627"/>
      <c r="F84" s="627"/>
      <c r="G84" s="627"/>
      <c r="H84" s="627"/>
      <c r="I84" s="627"/>
      <c r="J84" s="627"/>
      <c r="K84" s="611"/>
      <c r="L84" s="409" t="s">
        <v>600</v>
      </c>
      <c r="M84" s="1785" t="s">
        <v>1224</v>
      </c>
      <c r="N84" s="1786"/>
      <c r="O84" s="1"/>
      <c r="P84" s="1"/>
      <c r="Q84" s="93"/>
    </row>
    <row r="85" spans="1:48" ht="30" hidden="1" customHeight="1" outlineLevel="2" x14ac:dyDescent="0.25">
      <c r="A85" s="93"/>
      <c r="B85" s="1"/>
      <c r="D85" s="1811" t="s">
        <v>1326</v>
      </c>
      <c r="E85" s="1812"/>
      <c r="F85" s="1812"/>
      <c r="G85" s="1812"/>
      <c r="H85" s="1812"/>
      <c r="I85" s="1812"/>
      <c r="J85" s="1812"/>
      <c r="K85" s="556"/>
      <c r="L85" s="1482" t="s">
        <v>1233</v>
      </c>
      <c r="M85" s="1785" t="s">
        <v>1224</v>
      </c>
      <c r="N85" s="1786"/>
      <c r="O85" s="1"/>
      <c r="P85" s="1"/>
      <c r="Q85" s="93"/>
    </row>
    <row r="86" spans="1:48" ht="15.75" hidden="1" customHeight="1" outlineLevel="2" x14ac:dyDescent="0.25">
      <c r="A86" s="93"/>
      <c r="B86" s="1"/>
      <c r="D86" s="626" t="s">
        <v>0</v>
      </c>
      <c r="E86" s="1"/>
      <c r="F86" s="1"/>
      <c r="G86" s="1"/>
      <c r="H86" s="1"/>
      <c r="I86" s="1"/>
      <c r="J86" s="1"/>
      <c r="K86" s="1"/>
      <c r="L86" s="1479"/>
      <c r="M86" s="1"/>
      <c r="N86" s="404"/>
      <c r="O86" s="1"/>
      <c r="P86" s="1"/>
      <c r="Q86" s="93"/>
    </row>
    <row r="87" spans="1:48" ht="15.75" hidden="1" outlineLevel="2" thickBot="1" x14ac:dyDescent="0.3">
      <c r="A87" s="93"/>
      <c r="B87" s="1"/>
      <c r="C87" s="567"/>
      <c r="D87" s="1804" t="s">
        <v>1293</v>
      </c>
      <c r="E87" s="1805"/>
      <c r="F87" s="1805"/>
      <c r="G87" s="1805"/>
      <c r="H87" s="1805"/>
      <c r="I87" s="1805"/>
      <c r="J87" s="1805"/>
      <c r="K87" s="608"/>
      <c r="L87" s="1487" t="s">
        <v>1190</v>
      </c>
      <c r="M87" s="1806" t="s">
        <v>1224</v>
      </c>
      <c r="N87" s="1807"/>
      <c r="O87" s="1"/>
      <c r="P87" s="1"/>
      <c r="Q87" s="93"/>
    </row>
    <row r="88" spans="1:48" ht="15.75" hidden="1" customHeight="1" outlineLevel="2" x14ac:dyDescent="0.25">
      <c r="A88" s="93"/>
      <c r="B88" s="1"/>
      <c r="F88" s="1"/>
      <c r="G88" s="1"/>
      <c r="J88" s="1"/>
      <c r="O88" s="1"/>
      <c r="P88" s="1"/>
      <c r="Q88" s="93"/>
      <c r="AE88" s="444"/>
      <c r="AF88" s="444"/>
      <c r="AG88" s="444"/>
      <c r="AH88" s="444"/>
      <c r="AI88" s="444"/>
      <c r="AJ88" s="444"/>
      <c r="AK88" s="444"/>
      <c r="AL88" s="444"/>
      <c r="AM88" s="444"/>
      <c r="AN88" s="444"/>
    </row>
    <row r="89" spans="1:48" hidden="1" outlineLevel="2" x14ac:dyDescent="0.25">
      <c r="A89" s="93"/>
      <c r="B89" s="1"/>
      <c r="C89" s="389" t="s">
        <v>1232</v>
      </c>
      <c r="D89" s="332"/>
      <c r="E89" s="13"/>
      <c r="F89" s="13"/>
      <c r="G89" s="13"/>
      <c r="H89" s="1"/>
      <c r="I89" s="1"/>
      <c r="J89" s="1"/>
      <c r="K89" s="1"/>
      <c r="L89" s="1"/>
      <c r="M89" s="1"/>
      <c r="N89" s="1"/>
      <c r="O89" s="1"/>
      <c r="P89" s="1"/>
      <c r="Q89" s="93"/>
    </row>
    <row r="90" spans="1:48" hidden="1" outlineLevel="2" x14ac:dyDescent="0.25">
      <c r="A90" s="93"/>
      <c r="B90" s="1"/>
      <c r="C90" s="350" t="s">
        <v>1227</v>
      </c>
      <c r="D90" s="1"/>
      <c r="E90" s="1"/>
      <c r="F90" s="1"/>
      <c r="G90" s="1"/>
      <c r="H90" s="1"/>
      <c r="I90" s="1"/>
      <c r="J90" s="343"/>
      <c r="K90" s="1"/>
      <c r="L90" s="1"/>
      <c r="M90" s="1"/>
      <c r="N90" s="1"/>
      <c r="O90" s="1"/>
      <c r="P90" s="1"/>
      <c r="Q90" s="93"/>
    </row>
    <row r="91" spans="1:48" hidden="1" outlineLevel="2" x14ac:dyDescent="0.25">
      <c r="A91" s="93"/>
      <c r="B91" s="1"/>
      <c r="C91" s="34" t="s">
        <v>1550</v>
      </c>
      <c r="D91" s="34"/>
      <c r="E91" s="34"/>
      <c r="F91" s="34"/>
      <c r="G91" s="34"/>
      <c r="H91" s="34"/>
      <c r="I91" s="1850" t="s">
        <v>1166</v>
      </c>
      <c r="J91" s="1850"/>
      <c r="K91" s="1850"/>
      <c r="L91" s="1850"/>
      <c r="M91" s="1850"/>
      <c r="N91" s="1850"/>
      <c r="O91" s="13"/>
      <c r="P91" s="1"/>
      <c r="Q91" s="93"/>
    </row>
    <row r="92" spans="1:48" s="12" customFormat="1" hidden="1" outlineLevel="2" x14ac:dyDescent="0.25">
      <c r="A92" s="287"/>
      <c r="B92" s="13"/>
      <c r="C92" s="1759" t="s">
        <v>1551</v>
      </c>
      <c r="D92" s="1759"/>
      <c r="E92" s="1759"/>
      <c r="F92" s="1759"/>
      <c r="G92" s="1759"/>
      <c r="H92" s="1759"/>
      <c r="I92" s="1759"/>
      <c r="J92" s="1759"/>
      <c r="K92" s="1759"/>
      <c r="L92" s="1759"/>
      <c r="M92" s="1759"/>
      <c r="N92" s="1759"/>
      <c r="O92" s="13"/>
      <c r="P92" s="13"/>
      <c r="Q92" s="287"/>
      <c r="AE92" s="385"/>
      <c r="AF92" s="385"/>
      <c r="AG92" s="385"/>
      <c r="AH92" s="385"/>
      <c r="AI92" s="385"/>
      <c r="AJ92" s="385"/>
      <c r="AK92" s="385"/>
      <c r="AL92" s="385"/>
      <c r="AM92" s="385"/>
      <c r="AN92" s="385"/>
      <c r="AV92" s="192"/>
    </row>
    <row r="93" spans="1:48" s="12" customFormat="1" ht="15.75" hidden="1" outlineLevel="2" thickBot="1" x14ac:dyDescent="0.3">
      <c r="A93" s="287"/>
      <c r="B93" s="13"/>
      <c r="C93" s="13" t="s">
        <v>1167</v>
      </c>
      <c r="D93" s="13"/>
      <c r="E93" s="13"/>
      <c r="F93" s="13"/>
      <c r="G93" s="13"/>
      <c r="H93" s="13"/>
      <c r="I93" s="13"/>
      <c r="J93" s="13"/>
      <c r="K93" s="13"/>
      <c r="L93" s="13"/>
      <c r="M93" s="13"/>
      <c r="N93" s="13"/>
      <c r="O93" s="13"/>
      <c r="P93" s="13"/>
      <c r="Q93" s="287"/>
      <c r="AE93" s="385"/>
      <c r="AF93" s="385"/>
      <c r="AG93" s="385"/>
      <c r="AH93" s="385"/>
      <c r="AI93" s="385"/>
      <c r="AJ93" s="385"/>
      <c r="AK93" s="385"/>
      <c r="AL93" s="385"/>
      <c r="AM93" s="385"/>
      <c r="AN93" s="385"/>
    </row>
    <row r="94" spans="1:48" s="12" customFormat="1" ht="15.75" hidden="1" outlineLevel="2" x14ac:dyDescent="0.25">
      <c r="A94" s="287"/>
      <c r="B94" s="13"/>
      <c r="C94" s="344"/>
      <c r="D94" s="620"/>
      <c r="E94" s="1802" t="s">
        <v>1128</v>
      </c>
      <c r="F94" s="1802"/>
      <c r="G94" s="1802"/>
      <c r="H94" s="1802"/>
      <c r="I94" s="1802"/>
      <c r="J94" s="1802"/>
      <c r="K94" s="1802"/>
      <c r="L94" s="1802"/>
      <c r="M94" s="1802"/>
      <c r="N94" s="1802"/>
      <c r="O94" s="1802"/>
      <c r="P94" s="1803"/>
      <c r="Q94" s="287"/>
      <c r="AE94" s="401"/>
      <c r="AF94" s="385"/>
      <c r="AG94" s="385"/>
      <c r="AH94" s="385"/>
      <c r="AI94" s="385"/>
      <c r="AJ94" s="385"/>
      <c r="AK94" s="385"/>
      <c r="AL94" s="385"/>
      <c r="AM94" s="385"/>
      <c r="AN94" s="385"/>
    </row>
    <row r="95" spans="1:48" s="12" customFormat="1" ht="15.75" hidden="1" customHeight="1" outlineLevel="2" x14ac:dyDescent="0.25">
      <c r="A95" s="287"/>
      <c r="B95" s="13"/>
      <c r="C95" s="333"/>
      <c r="D95" s="13"/>
      <c r="E95" s="412">
        <v>1</v>
      </c>
      <c r="F95" s="412">
        <v>2</v>
      </c>
      <c r="G95" s="412">
        <v>3</v>
      </c>
      <c r="H95" s="412">
        <v>4</v>
      </c>
      <c r="I95" s="412">
        <v>5</v>
      </c>
      <c r="J95" s="412">
        <v>6</v>
      </c>
      <c r="K95" s="412">
        <v>7</v>
      </c>
      <c r="L95" s="412">
        <v>8</v>
      </c>
      <c r="M95" s="412">
        <v>9</v>
      </c>
      <c r="N95" s="412">
        <v>10</v>
      </c>
      <c r="O95" s="412">
        <v>11</v>
      </c>
      <c r="P95" s="414">
        <v>12</v>
      </c>
      <c r="Q95" s="287"/>
      <c r="AE95" s="449"/>
      <c r="AF95" s="449"/>
      <c r="AG95" s="449"/>
      <c r="AH95" s="1794"/>
      <c r="AI95" s="1794"/>
      <c r="AJ95" s="1794"/>
      <c r="AK95" s="1794"/>
      <c r="AL95" s="1794"/>
      <c r="AM95" s="449"/>
      <c r="AN95" s="385"/>
    </row>
    <row r="96" spans="1:48" s="12" customFormat="1" hidden="1" outlineLevel="2" x14ac:dyDescent="0.25">
      <c r="A96" s="287"/>
      <c r="B96" s="13"/>
      <c r="C96" s="1800" t="s">
        <v>747</v>
      </c>
      <c r="D96" s="1801"/>
      <c r="E96" s="612"/>
      <c r="F96" s="613"/>
      <c r="G96" s="613"/>
      <c r="H96" s="613"/>
      <c r="I96" s="613"/>
      <c r="J96" s="613"/>
      <c r="K96" s="613"/>
      <c r="L96" s="613"/>
      <c r="M96" s="613"/>
      <c r="N96" s="613"/>
      <c r="O96" s="613"/>
      <c r="P96" s="621"/>
      <c r="Q96" s="287"/>
      <c r="AE96" s="418"/>
      <c r="AF96" s="418"/>
      <c r="AG96" s="418"/>
      <c r="AH96" s="1795"/>
      <c r="AI96" s="1795"/>
      <c r="AJ96" s="1795"/>
      <c r="AK96" s="1795"/>
      <c r="AL96" s="1795"/>
      <c r="AM96" s="1820"/>
      <c r="AN96" s="385"/>
    </row>
    <row r="97" spans="1:44" s="182" customFormat="1" hidden="1" outlineLevel="2" x14ac:dyDescent="0.25">
      <c r="A97" s="299"/>
      <c r="B97" s="1375"/>
      <c r="C97" s="1819" t="s">
        <v>724</v>
      </c>
      <c r="D97" s="1820"/>
      <c r="E97" s="614"/>
      <c r="F97" s="615"/>
      <c r="G97" s="615"/>
      <c r="H97" s="615"/>
      <c r="I97" s="615"/>
      <c r="J97" s="615"/>
      <c r="K97" s="615"/>
      <c r="L97" s="615"/>
      <c r="M97" s="615"/>
      <c r="N97" s="615"/>
      <c r="O97" s="615"/>
      <c r="P97" s="616"/>
      <c r="Q97" s="299"/>
      <c r="AE97" s="450"/>
      <c r="AF97" s="450"/>
      <c r="AG97" s="450"/>
      <c r="AH97" s="1825"/>
      <c r="AI97" s="1825"/>
      <c r="AJ97" s="1825"/>
      <c r="AK97" s="1825"/>
      <c r="AL97" s="1825"/>
      <c r="AM97" s="1820"/>
      <c r="AN97" s="424"/>
    </row>
    <row r="98" spans="1:44" s="12" customFormat="1" ht="25.5" hidden="1" customHeight="1" outlineLevel="2" thickBot="1" x14ac:dyDescent="0.3">
      <c r="A98" s="287"/>
      <c r="B98" s="13"/>
      <c r="C98" s="1821" t="s">
        <v>1324</v>
      </c>
      <c r="D98" s="1822"/>
      <c r="E98" s="617"/>
      <c r="F98" s="618"/>
      <c r="G98" s="618"/>
      <c r="H98" s="618"/>
      <c r="I98" s="618"/>
      <c r="J98" s="618"/>
      <c r="K98" s="618"/>
      <c r="L98" s="618"/>
      <c r="M98" s="618"/>
      <c r="N98" s="618"/>
      <c r="O98" s="618"/>
      <c r="P98" s="619"/>
      <c r="Q98" s="287"/>
      <c r="AE98" s="418"/>
      <c r="AF98" s="418"/>
      <c r="AG98" s="418"/>
      <c r="AH98" s="1795"/>
      <c r="AI98" s="1795"/>
      <c r="AJ98" s="1795"/>
      <c r="AK98" s="1795"/>
      <c r="AL98" s="1795"/>
      <c r="AM98" s="1820"/>
      <c r="AN98" s="385"/>
    </row>
    <row r="99" spans="1:44" s="12" customFormat="1" hidden="1" outlineLevel="2" x14ac:dyDescent="0.25">
      <c r="A99" s="287"/>
      <c r="B99" s="13"/>
      <c r="C99" s="13"/>
      <c r="D99" s="413"/>
      <c r="E99" s="413"/>
      <c r="F99" s="413"/>
      <c r="G99" s="413"/>
      <c r="H99" s="413"/>
      <c r="I99" s="413"/>
      <c r="J99" s="413"/>
      <c r="K99" s="413"/>
      <c r="L99" s="413"/>
      <c r="M99" s="413"/>
      <c r="N99" s="413"/>
      <c r="O99" s="413"/>
      <c r="P99" s="13"/>
      <c r="Q99" s="287"/>
      <c r="AE99" s="418"/>
      <c r="AF99" s="418"/>
      <c r="AG99" s="418"/>
      <c r="AH99" s="1795"/>
      <c r="AI99" s="1795"/>
      <c r="AJ99" s="1795"/>
      <c r="AK99" s="1795"/>
      <c r="AL99" s="1795"/>
      <c r="AM99" s="1820"/>
      <c r="AN99" s="385"/>
      <c r="AR99" s="13"/>
    </row>
    <row r="100" spans="1:44" s="12" customFormat="1" ht="15.75" hidden="1" customHeight="1" outlineLevel="2" x14ac:dyDescent="0.3">
      <c r="A100" s="287"/>
      <c r="B100" s="13"/>
      <c r="C100" s="350" t="s">
        <v>1320</v>
      </c>
      <c r="D100" s="413"/>
      <c r="E100" s="413"/>
      <c r="F100" s="413"/>
      <c r="G100" s="413"/>
      <c r="H100" s="413"/>
      <c r="I100" s="413"/>
      <c r="J100" s="413"/>
      <c r="K100" s="413"/>
      <c r="L100" s="413"/>
      <c r="M100" s="413"/>
      <c r="N100" s="413"/>
      <c r="O100" s="413"/>
      <c r="P100" s="13"/>
      <c r="Q100" s="287"/>
      <c r="AE100" s="418"/>
      <c r="AF100" s="418"/>
      <c r="AG100" s="418"/>
      <c r="AH100" s="1795"/>
      <c r="AI100" s="1795"/>
      <c r="AJ100" s="1795"/>
      <c r="AK100" s="1795"/>
      <c r="AL100" s="1795"/>
      <c r="AM100" s="1820"/>
      <c r="AN100" s="385"/>
      <c r="AR100" s="13"/>
    </row>
    <row r="101" spans="1:44" s="12" customFormat="1" ht="15.75" hidden="1" customHeight="1" outlineLevel="2" x14ac:dyDescent="0.3">
      <c r="A101" s="287"/>
      <c r="B101" s="13"/>
      <c r="C101" s="13" t="s">
        <v>1399</v>
      </c>
      <c r="D101" s="413"/>
      <c r="E101" s="413"/>
      <c r="F101" s="413"/>
      <c r="G101" s="413"/>
      <c r="H101" s="413"/>
      <c r="I101" s="413"/>
      <c r="J101" s="413"/>
      <c r="K101" s="413"/>
      <c r="L101" s="413"/>
      <c r="M101" s="413"/>
      <c r="N101" s="413"/>
      <c r="O101" s="413"/>
      <c r="P101" s="13"/>
      <c r="Q101" s="287"/>
      <c r="AE101" s="418"/>
      <c r="AF101" s="418"/>
      <c r="AG101" s="418"/>
      <c r="AH101" s="420"/>
      <c r="AI101" s="420"/>
      <c r="AJ101" s="420"/>
      <c r="AK101" s="420"/>
      <c r="AL101" s="420"/>
      <c r="AM101" s="1820"/>
      <c r="AN101" s="385"/>
      <c r="AR101" s="13"/>
    </row>
    <row r="102" spans="1:44" s="12" customFormat="1" ht="15.75" hidden="1" customHeight="1" outlineLevel="2" thickBot="1" x14ac:dyDescent="0.3">
      <c r="A102" s="287"/>
      <c r="B102" s="13"/>
      <c r="C102" s="352" t="s">
        <v>1229</v>
      </c>
      <c r="D102" s="413"/>
      <c r="E102" s="413"/>
      <c r="F102" s="413"/>
      <c r="G102" s="413"/>
      <c r="H102" s="413"/>
      <c r="I102" s="413"/>
      <c r="J102" s="413"/>
      <c r="K102" s="413"/>
      <c r="L102" s="413"/>
      <c r="M102" s="413"/>
      <c r="N102" s="413"/>
      <c r="O102" s="413"/>
      <c r="P102" s="13"/>
      <c r="Q102" s="287"/>
      <c r="AE102" s="418"/>
      <c r="AF102" s="418"/>
      <c r="AG102" s="418"/>
      <c r="AH102" s="1795"/>
      <c r="AI102" s="1795"/>
      <c r="AJ102" s="1795"/>
      <c r="AK102" s="1795"/>
      <c r="AL102" s="1795"/>
      <c r="AM102" s="1820"/>
      <c r="AN102" s="385"/>
      <c r="AR102" s="13"/>
    </row>
    <row r="103" spans="1:44" s="12" customFormat="1" ht="15.75" hidden="1" customHeight="1" outlineLevel="2" x14ac:dyDescent="0.25">
      <c r="A103" s="287"/>
      <c r="B103" s="13"/>
      <c r="C103" s="1813" t="s">
        <v>1295</v>
      </c>
      <c r="D103" s="1814"/>
      <c r="E103" s="1817" t="s">
        <v>1552</v>
      </c>
      <c r="F103" s="1817"/>
      <c r="G103" s="1817"/>
      <c r="H103" s="1817"/>
      <c r="I103" s="1817"/>
      <c r="J103" s="1817"/>
      <c r="K103" s="1817"/>
      <c r="L103" s="1817"/>
      <c r="M103" s="1817"/>
      <c r="N103" s="1817"/>
      <c r="O103" s="1817"/>
      <c r="P103" s="1818"/>
      <c r="Q103" s="1823" t="s">
        <v>1325</v>
      </c>
      <c r="AE103" s="418"/>
      <c r="AF103" s="418"/>
      <c r="AG103" s="418"/>
      <c r="AH103" s="1795"/>
      <c r="AI103" s="1795"/>
      <c r="AJ103" s="1795"/>
      <c r="AK103" s="1795"/>
      <c r="AL103" s="1795"/>
      <c r="AM103" s="1820"/>
      <c r="AN103" s="385"/>
      <c r="AR103" s="13"/>
    </row>
    <row r="104" spans="1:44" s="12" customFormat="1" ht="24.75" hidden="1" customHeight="1" outlineLevel="2" x14ac:dyDescent="0.25">
      <c r="A104" s="287"/>
      <c r="B104" s="13"/>
      <c r="C104" s="1815"/>
      <c r="D104" s="1816"/>
      <c r="E104" s="195" t="s">
        <v>752</v>
      </c>
      <c r="F104" s="195" t="s">
        <v>753</v>
      </c>
      <c r="G104" s="195" t="s">
        <v>754</v>
      </c>
      <c r="H104" s="195" t="s">
        <v>755</v>
      </c>
      <c r="I104" s="195" t="s">
        <v>756</v>
      </c>
      <c r="J104" s="195" t="s">
        <v>757</v>
      </c>
      <c r="K104" s="195" t="s">
        <v>758</v>
      </c>
      <c r="L104" s="195" t="s">
        <v>759</v>
      </c>
      <c r="M104" s="195" t="s">
        <v>760</v>
      </c>
      <c r="N104" s="195" t="s">
        <v>761</v>
      </c>
      <c r="O104" s="195" t="s">
        <v>762</v>
      </c>
      <c r="P104" s="568" t="s">
        <v>763</v>
      </c>
      <c r="Q104" s="1824"/>
      <c r="AE104" s="418"/>
      <c r="AF104" s="418"/>
      <c r="AG104" s="418"/>
      <c r="AH104" s="1795"/>
      <c r="AI104" s="1795"/>
      <c r="AJ104" s="1795"/>
      <c r="AK104" s="1795"/>
      <c r="AL104" s="1795"/>
      <c r="AM104" s="1820"/>
      <c r="AN104" s="385"/>
      <c r="AR104" s="13"/>
    </row>
    <row r="105" spans="1:44" s="12" customFormat="1" ht="15" hidden="1" customHeight="1" outlineLevel="2" x14ac:dyDescent="0.25">
      <c r="A105" s="287"/>
      <c r="B105" s="13"/>
      <c r="C105" s="1764"/>
      <c r="D105" s="1765"/>
      <c r="E105" s="559"/>
      <c r="F105" s="1226"/>
      <c r="G105" s="922"/>
      <c r="H105" s="922"/>
      <c r="I105" s="559"/>
      <c r="J105" s="559"/>
      <c r="K105" s="559"/>
      <c r="L105" s="559"/>
      <c r="M105" s="559"/>
      <c r="N105" s="559"/>
      <c r="O105" s="559"/>
      <c r="P105" s="559"/>
      <c r="Q105" s="628">
        <v>5</v>
      </c>
      <c r="AE105" s="418"/>
      <c r="AF105" s="418"/>
      <c r="AG105" s="418"/>
      <c r="AH105" s="1795"/>
      <c r="AI105" s="1795"/>
      <c r="AJ105" s="1795"/>
      <c r="AK105" s="1795"/>
      <c r="AL105" s="1795"/>
      <c r="AM105" s="1820"/>
      <c r="AN105" s="385"/>
      <c r="AR105" s="13"/>
    </row>
    <row r="106" spans="1:44" s="12" customFormat="1" ht="15" hidden="1" customHeight="1" outlineLevel="2" x14ac:dyDescent="0.25">
      <c r="A106" s="287"/>
      <c r="B106" s="13"/>
      <c r="C106" s="1764"/>
      <c r="D106" s="1765"/>
      <c r="E106" s="559"/>
      <c r="F106" s="1226"/>
      <c r="G106" s="922"/>
      <c r="H106" s="922"/>
      <c r="I106" s="559"/>
      <c r="J106" s="559"/>
      <c r="K106" s="559"/>
      <c r="L106" s="559"/>
      <c r="M106" s="559"/>
      <c r="N106" s="559"/>
      <c r="O106" s="559"/>
      <c r="P106" s="559"/>
      <c r="Q106" s="628">
        <v>8</v>
      </c>
      <c r="AE106" s="418"/>
      <c r="AF106" s="418"/>
      <c r="AG106" s="418"/>
      <c r="AH106" s="1795"/>
      <c r="AI106" s="1795"/>
      <c r="AJ106" s="1795"/>
      <c r="AK106" s="1795"/>
      <c r="AL106" s="1795"/>
      <c r="AM106" s="1820"/>
      <c r="AN106" s="385"/>
      <c r="AR106" s="196"/>
    </row>
    <row r="107" spans="1:44" s="12" customFormat="1" hidden="1" outlineLevel="2" x14ac:dyDescent="0.25">
      <c r="A107" s="287"/>
      <c r="B107" s="13"/>
      <c r="C107" s="1764"/>
      <c r="D107" s="1765"/>
      <c r="E107" s="559"/>
      <c r="F107" s="922"/>
      <c r="G107" s="922"/>
      <c r="H107" s="922"/>
      <c r="I107" s="559"/>
      <c r="J107" s="559"/>
      <c r="K107" s="559"/>
      <c r="L107" s="559"/>
      <c r="M107" s="559"/>
      <c r="N107" s="559"/>
      <c r="O107" s="559"/>
      <c r="P107" s="559"/>
      <c r="Q107" s="629"/>
      <c r="R107" s="197"/>
      <c r="AE107" s="418"/>
      <c r="AF107" s="418"/>
      <c r="AG107" s="418"/>
      <c r="AH107" s="1795"/>
      <c r="AI107" s="1795"/>
      <c r="AJ107" s="1795"/>
      <c r="AK107" s="1795"/>
      <c r="AL107" s="1795"/>
      <c r="AM107" s="1820"/>
      <c r="AN107" s="385"/>
      <c r="AR107" s="196"/>
    </row>
    <row r="108" spans="1:44" s="12" customFormat="1" hidden="1" outlineLevel="2" x14ac:dyDescent="0.25">
      <c r="A108" s="287"/>
      <c r="B108" s="13"/>
      <c r="C108" s="1764"/>
      <c r="D108" s="1765"/>
      <c r="E108" s="559"/>
      <c r="F108" s="559"/>
      <c r="G108" s="559"/>
      <c r="H108" s="559"/>
      <c r="I108" s="559"/>
      <c r="J108" s="559"/>
      <c r="K108" s="559"/>
      <c r="L108" s="559"/>
      <c r="M108" s="559"/>
      <c r="N108" s="559"/>
      <c r="O108" s="559"/>
      <c r="P108" s="559"/>
      <c r="Q108" s="629"/>
      <c r="R108" s="197"/>
      <c r="AE108" s="418"/>
      <c r="AF108" s="418"/>
      <c r="AG108" s="418"/>
      <c r="AH108" s="1795"/>
      <c r="AI108" s="1795"/>
      <c r="AJ108" s="1795"/>
      <c r="AK108" s="1795"/>
      <c r="AL108" s="1795"/>
      <c r="AM108" s="1820"/>
      <c r="AN108" s="385"/>
      <c r="AR108" s="196"/>
    </row>
    <row r="109" spans="1:44" s="12" customFormat="1" hidden="1" outlineLevel="2" x14ac:dyDescent="0.25">
      <c r="A109" s="287"/>
      <c r="B109" s="13"/>
      <c r="C109" s="1764"/>
      <c r="D109" s="1765"/>
      <c r="E109" s="559"/>
      <c r="F109" s="559"/>
      <c r="G109" s="559"/>
      <c r="H109" s="559"/>
      <c r="I109" s="559"/>
      <c r="J109" s="559"/>
      <c r="K109" s="559"/>
      <c r="L109" s="559"/>
      <c r="M109" s="559"/>
      <c r="N109" s="559"/>
      <c r="O109" s="559"/>
      <c r="P109" s="559"/>
      <c r="Q109" s="629"/>
      <c r="R109" s="197"/>
      <c r="AE109" s="418"/>
      <c r="AF109" s="418"/>
      <c r="AG109" s="418"/>
      <c r="AH109" s="1795"/>
      <c r="AI109" s="1795"/>
      <c r="AJ109" s="1795"/>
      <c r="AK109" s="1795"/>
      <c r="AL109" s="1795"/>
      <c r="AM109" s="1820"/>
      <c r="AN109" s="385"/>
      <c r="AR109" s="196"/>
    </row>
    <row r="110" spans="1:44" s="12" customFormat="1" hidden="1" outlineLevel="2" x14ac:dyDescent="0.25">
      <c r="A110" s="287"/>
      <c r="B110" s="13"/>
      <c r="C110" s="1764"/>
      <c r="D110" s="1765"/>
      <c r="E110" s="559"/>
      <c r="F110" s="559"/>
      <c r="G110" s="559"/>
      <c r="H110" s="559"/>
      <c r="I110" s="559"/>
      <c r="J110" s="559"/>
      <c r="K110" s="559"/>
      <c r="L110" s="559"/>
      <c r="M110" s="559"/>
      <c r="N110" s="559"/>
      <c r="O110" s="559"/>
      <c r="P110" s="559"/>
      <c r="Q110" s="629"/>
      <c r="R110" s="197"/>
      <c r="AE110" s="418"/>
      <c r="AF110" s="418"/>
      <c r="AG110" s="418"/>
      <c r="AH110" s="1795"/>
      <c r="AI110" s="1795"/>
      <c r="AJ110" s="1795"/>
      <c r="AK110" s="1795"/>
      <c r="AL110" s="1795"/>
      <c r="AM110" s="1820"/>
      <c r="AN110" s="385"/>
      <c r="AR110" s="196"/>
    </row>
    <row r="111" spans="1:44" s="12" customFormat="1" hidden="1" outlineLevel="2" x14ac:dyDescent="0.25">
      <c r="A111" s="287"/>
      <c r="B111" s="13"/>
      <c r="C111" s="1764"/>
      <c r="D111" s="1765"/>
      <c r="E111" s="559"/>
      <c r="F111" s="559"/>
      <c r="G111" s="559"/>
      <c r="H111" s="559"/>
      <c r="I111" s="559"/>
      <c r="J111" s="559"/>
      <c r="K111" s="559"/>
      <c r="L111" s="559"/>
      <c r="M111" s="559"/>
      <c r="N111" s="559"/>
      <c r="O111" s="559"/>
      <c r="P111" s="559"/>
      <c r="Q111" s="629"/>
      <c r="R111" s="197"/>
      <c r="AE111" s="418"/>
      <c r="AF111" s="418"/>
      <c r="AG111" s="418"/>
      <c r="AH111" s="1795"/>
      <c r="AI111" s="1795"/>
      <c r="AJ111" s="1795"/>
      <c r="AK111" s="1795"/>
      <c r="AL111" s="1795"/>
      <c r="AM111" s="1820"/>
      <c r="AN111" s="385"/>
      <c r="AR111" s="196"/>
    </row>
    <row r="112" spans="1:44" s="12" customFormat="1" hidden="1" outlineLevel="2" x14ac:dyDescent="0.25">
      <c r="A112" s="287"/>
      <c r="B112" s="13"/>
      <c r="C112" s="1764"/>
      <c r="D112" s="1765"/>
      <c r="E112" s="559"/>
      <c r="F112" s="559"/>
      <c r="G112" s="559"/>
      <c r="H112" s="559"/>
      <c r="I112" s="559"/>
      <c r="J112" s="559"/>
      <c r="K112" s="559"/>
      <c r="L112" s="559"/>
      <c r="M112" s="559"/>
      <c r="N112" s="559"/>
      <c r="O112" s="559"/>
      <c r="P112" s="559"/>
      <c r="Q112" s="629"/>
      <c r="R112" s="197"/>
      <c r="AE112" s="418"/>
      <c r="AF112" s="418"/>
      <c r="AG112" s="418"/>
      <c r="AH112" s="1795"/>
      <c r="AI112" s="1795"/>
      <c r="AJ112" s="1795"/>
      <c r="AK112" s="1795"/>
      <c r="AL112" s="1795"/>
      <c r="AM112" s="1820"/>
      <c r="AN112" s="385"/>
      <c r="AR112" s="196"/>
    </row>
    <row r="113" spans="1:44" s="12" customFormat="1" hidden="1" outlineLevel="2" x14ac:dyDescent="0.25">
      <c r="A113" s="287"/>
      <c r="B113" s="13"/>
      <c r="C113" s="1764"/>
      <c r="D113" s="1765"/>
      <c r="E113" s="559"/>
      <c r="F113" s="559"/>
      <c r="G113" s="559"/>
      <c r="H113" s="559"/>
      <c r="I113" s="559"/>
      <c r="J113" s="559"/>
      <c r="K113" s="559"/>
      <c r="L113" s="559"/>
      <c r="M113" s="559"/>
      <c r="N113" s="559"/>
      <c r="O113" s="559"/>
      <c r="P113" s="559"/>
      <c r="Q113" s="629"/>
      <c r="R113" s="197"/>
      <c r="AE113" s="418"/>
      <c r="AF113" s="418"/>
      <c r="AG113" s="418"/>
      <c r="AH113" s="1795"/>
      <c r="AI113" s="1795"/>
      <c r="AJ113" s="1795"/>
      <c r="AK113" s="1795"/>
      <c r="AL113" s="1795"/>
      <c r="AM113" s="1820"/>
      <c r="AN113" s="385"/>
      <c r="AR113" s="196"/>
    </row>
    <row r="114" spans="1:44" s="12" customFormat="1" hidden="1" outlineLevel="2" x14ac:dyDescent="0.25">
      <c r="A114" s="287"/>
      <c r="B114" s="13"/>
      <c r="C114" s="1764"/>
      <c r="D114" s="1765"/>
      <c r="E114" s="559"/>
      <c r="F114" s="559"/>
      <c r="G114" s="559"/>
      <c r="H114" s="559"/>
      <c r="I114" s="559"/>
      <c r="J114" s="559"/>
      <c r="K114" s="559"/>
      <c r="L114" s="559"/>
      <c r="M114" s="559"/>
      <c r="N114" s="559"/>
      <c r="O114" s="559"/>
      <c r="P114" s="559"/>
      <c r="Q114" s="629"/>
      <c r="R114" s="197"/>
      <c r="AE114" s="418"/>
      <c r="AF114" s="418"/>
      <c r="AG114" s="418"/>
      <c r="AH114" s="1795"/>
      <c r="AI114" s="1795"/>
      <c r="AJ114" s="1795"/>
      <c r="AK114" s="1795"/>
      <c r="AL114" s="1795"/>
      <c r="AM114" s="1820"/>
      <c r="AN114" s="385"/>
      <c r="AR114" s="196"/>
    </row>
    <row r="115" spans="1:44" s="12" customFormat="1" hidden="1" outlineLevel="2" x14ac:dyDescent="0.25">
      <c r="A115" s="287"/>
      <c r="B115" s="13"/>
      <c r="C115" s="1764"/>
      <c r="D115" s="1765"/>
      <c r="E115" s="559"/>
      <c r="F115" s="559"/>
      <c r="G115" s="559"/>
      <c r="H115" s="559"/>
      <c r="I115" s="559"/>
      <c r="J115" s="559"/>
      <c r="K115" s="559"/>
      <c r="L115" s="559"/>
      <c r="M115" s="559"/>
      <c r="N115" s="559"/>
      <c r="O115" s="559"/>
      <c r="P115" s="559"/>
      <c r="Q115" s="629"/>
      <c r="R115" s="197"/>
      <c r="AE115" s="418"/>
      <c r="AF115" s="418"/>
      <c r="AG115" s="418"/>
      <c r="AH115" s="1795"/>
      <c r="AI115" s="1795"/>
      <c r="AJ115" s="1795"/>
      <c r="AK115" s="1795"/>
      <c r="AL115" s="1795"/>
      <c r="AM115" s="1820"/>
      <c r="AN115" s="385"/>
      <c r="AR115" s="196"/>
    </row>
    <row r="116" spans="1:44" s="12" customFormat="1" hidden="1" outlineLevel="2" x14ac:dyDescent="0.25">
      <c r="A116" s="287"/>
      <c r="B116" s="13"/>
      <c r="C116" s="1764"/>
      <c r="D116" s="1765"/>
      <c r="E116" s="559"/>
      <c r="F116" s="559"/>
      <c r="G116" s="559"/>
      <c r="H116" s="559"/>
      <c r="I116" s="559"/>
      <c r="J116" s="559"/>
      <c r="K116" s="559"/>
      <c r="L116" s="559"/>
      <c r="M116" s="559"/>
      <c r="N116" s="559"/>
      <c r="O116" s="559"/>
      <c r="P116" s="559"/>
      <c r="Q116" s="629"/>
      <c r="R116" s="197"/>
      <c r="AE116" s="381"/>
      <c r="AF116" s="451"/>
      <c r="AG116" s="451"/>
      <c r="AH116" s="1825"/>
      <c r="AI116" s="1825"/>
      <c r="AJ116" s="1825"/>
      <c r="AK116" s="1825"/>
      <c r="AL116" s="1825"/>
      <c r="AM116" s="418"/>
      <c r="AN116" s="385"/>
      <c r="AR116" s="196"/>
    </row>
    <row r="117" spans="1:44" s="12" customFormat="1" hidden="1" outlineLevel="2" x14ac:dyDescent="0.25">
      <c r="A117" s="287"/>
      <c r="B117" s="13"/>
      <c r="C117" s="1764"/>
      <c r="D117" s="1765"/>
      <c r="E117" s="559"/>
      <c r="F117" s="559"/>
      <c r="G117" s="559"/>
      <c r="H117" s="559"/>
      <c r="I117" s="559"/>
      <c r="J117" s="559"/>
      <c r="K117" s="559"/>
      <c r="L117" s="559"/>
      <c r="M117" s="559"/>
      <c r="N117" s="559"/>
      <c r="O117" s="559"/>
      <c r="P117" s="559"/>
      <c r="Q117" s="629"/>
      <c r="R117" s="197"/>
      <c r="AE117" s="381"/>
      <c r="AF117" s="451"/>
      <c r="AG117" s="451"/>
      <c r="AH117" s="1825"/>
      <c r="AI117" s="1825"/>
      <c r="AJ117" s="1825"/>
      <c r="AK117" s="1825"/>
      <c r="AL117" s="1825"/>
      <c r="AM117" s="418"/>
      <c r="AN117" s="385"/>
      <c r="AR117" s="196"/>
    </row>
    <row r="118" spans="1:44" s="12" customFormat="1" hidden="1" outlineLevel="2" x14ac:dyDescent="0.25">
      <c r="A118" s="287"/>
      <c r="B118" s="13"/>
      <c r="C118" s="1764"/>
      <c r="D118" s="1765"/>
      <c r="E118" s="559"/>
      <c r="F118" s="559"/>
      <c r="G118" s="559"/>
      <c r="H118" s="559"/>
      <c r="I118" s="559"/>
      <c r="J118" s="559"/>
      <c r="K118" s="559"/>
      <c r="L118" s="559"/>
      <c r="M118" s="559"/>
      <c r="N118" s="559"/>
      <c r="O118" s="559"/>
      <c r="P118" s="559"/>
      <c r="Q118" s="629"/>
      <c r="R118" s="197"/>
      <c r="AE118" s="381"/>
      <c r="AF118" s="451"/>
      <c r="AG118" s="451"/>
      <c r="AH118" s="1825"/>
      <c r="AI118" s="1825"/>
      <c r="AJ118" s="1825"/>
      <c r="AK118" s="1825"/>
      <c r="AL118" s="1825"/>
      <c r="AM118" s="418"/>
      <c r="AN118" s="385"/>
      <c r="AR118" s="196"/>
    </row>
    <row r="119" spans="1:44" s="12" customFormat="1" ht="15.75" hidden="1" outlineLevel="2" thickBot="1" x14ac:dyDescent="0.3">
      <c r="A119" s="287"/>
      <c r="B119" s="13"/>
      <c r="C119" s="1858"/>
      <c r="D119" s="1859"/>
      <c r="E119" s="560"/>
      <c r="F119" s="560"/>
      <c r="G119" s="560"/>
      <c r="H119" s="560"/>
      <c r="I119" s="560"/>
      <c r="J119" s="560"/>
      <c r="K119" s="560"/>
      <c r="L119" s="560"/>
      <c r="M119" s="560"/>
      <c r="N119" s="560"/>
      <c r="O119" s="560"/>
      <c r="P119" s="560"/>
      <c r="Q119" s="630"/>
      <c r="R119" s="197"/>
      <c r="AE119" s="418"/>
      <c r="AF119" s="418"/>
      <c r="AG119" s="450"/>
      <c r="AH119" s="420"/>
      <c r="AI119" s="420"/>
      <c r="AJ119" s="420"/>
      <c r="AK119" s="420"/>
      <c r="AL119" s="420"/>
      <c r="AM119" s="385"/>
      <c r="AN119" s="385"/>
      <c r="AR119" s="196"/>
    </row>
    <row r="120" spans="1:44" s="12" customFormat="1" hidden="1" outlineLevel="2" x14ac:dyDescent="0.25">
      <c r="A120" s="287"/>
      <c r="B120" s="13"/>
      <c r="C120" s="13"/>
      <c r="D120" s="13"/>
      <c r="E120" s="13"/>
      <c r="F120" s="13"/>
      <c r="G120" s="13"/>
      <c r="H120" s="13"/>
      <c r="I120" s="13"/>
      <c r="J120" s="13"/>
      <c r="K120" s="13"/>
      <c r="L120" s="13"/>
      <c r="M120" s="13"/>
      <c r="N120" s="13"/>
      <c r="O120" s="13"/>
      <c r="P120" s="13"/>
      <c r="Q120" s="347"/>
      <c r="R120" s="197"/>
      <c r="AE120" s="418"/>
      <c r="AF120" s="418"/>
      <c r="AG120" s="418"/>
      <c r="AH120" s="1825"/>
      <c r="AI120" s="1825"/>
      <c r="AJ120" s="1825"/>
      <c r="AK120" s="1825"/>
      <c r="AL120" s="1825"/>
      <c r="AM120" s="418"/>
      <c r="AN120" s="385"/>
      <c r="AR120" s="196"/>
    </row>
    <row r="121" spans="1:44" s="12" customFormat="1" ht="15" hidden="1" customHeight="1" outlineLevel="2" x14ac:dyDescent="0.3">
      <c r="A121" s="287"/>
      <c r="B121" s="13"/>
      <c r="C121" s="350" t="s">
        <v>1321</v>
      </c>
      <c r="D121" s="342"/>
      <c r="E121" s="342"/>
      <c r="F121" s="342"/>
      <c r="G121" s="342"/>
      <c r="H121" s="342"/>
      <c r="I121" s="342"/>
      <c r="J121" s="342"/>
      <c r="K121" s="342"/>
      <c r="L121" s="342"/>
      <c r="M121" s="342"/>
      <c r="N121" s="13"/>
      <c r="O121" s="13"/>
      <c r="P121" s="13"/>
      <c r="Q121" s="347"/>
      <c r="R121" s="197"/>
      <c r="AE121" s="418"/>
      <c r="AF121" s="418"/>
      <c r="AG121" s="418"/>
      <c r="AH121" s="1826"/>
      <c r="AI121" s="1826"/>
      <c r="AJ121" s="1826"/>
      <c r="AK121" s="1826"/>
      <c r="AL121" s="1826"/>
      <c r="AM121" s="385"/>
      <c r="AN121" s="385"/>
      <c r="AR121" s="196"/>
    </row>
    <row r="122" spans="1:44" s="12" customFormat="1" ht="28.5" hidden="1" customHeight="1" outlineLevel="2" x14ac:dyDescent="0.25">
      <c r="A122" s="287"/>
      <c r="B122" s="13"/>
      <c r="C122" s="1759" t="s">
        <v>1323</v>
      </c>
      <c r="D122" s="1759"/>
      <c r="E122" s="1759"/>
      <c r="F122" s="1759"/>
      <c r="G122" s="1759"/>
      <c r="H122" s="1759"/>
      <c r="I122" s="1759"/>
      <c r="J122" s="1759"/>
      <c r="K122" s="1759"/>
      <c r="L122" s="1759"/>
      <c r="M122" s="1759"/>
      <c r="N122" s="1759"/>
      <c r="O122" s="1759"/>
      <c r="P122" s="1759"/>
      <c r="Q122" s="287"/>
      <c r="R122" s="197"/>
      <c r="AE122" s="418"/>
      <c r="AF122" s="418"/>
      <c r="AG122" s="418"/>
      <c r="AH122" s="1826"/>
      <c r="AI122" s="1826"/>
      <c r="AJ122" s="1826"/>
      <c r="AK122" s="1826"/>
      <c r="AL122" s="1826"/>
      <c r="AM122" s="418"/>
      <c r="AN122" s="385"/>
      <c r="AR122" s="196"/>
    </row>
    <row r="123" spans="1:44" s="12" customFormat="1" ht="15.75" hidden="1" outlineLevel="2" thickBot="1" x14ac:dyDescent="0.3">
      <c r="A123" s="287"/>
      <c r="B123" s="13"/>
      <c r="C123" s="352" t="s">
        <v>1170</v>
      </c>
      <c r="D123" s="13"/>
      <c r="E123" s="13"/>
      <c r="F123" s="13"/>
      <c r="G123" s="13"/>
      <c r="H123" s="13"/>
      <c r="I123" s="13"/>
      <c r="J123" s="13"/>
      <c r="K123" s="13"/>
      <c r="L123" s="13"/>
      <c r="M123" s="13"/>
      <c r="N123" s="13"/>
      <c r="O123" s="13"/>
      <c r="P123" s="13"/>
      <c r="Q123" s="287"/>
      <c r="R123" s="197"/>
      <c r="AE123" s="381"/>
      <c r="AF123" s="451"/>
      <c r="AG123" s="451"/>
      <c r="AH123" s="1826"/>
      <c r="AI123" s="1826"/>
      <c r="AJ123" s="1826"/>
      <c r="AK123" s="1826"/>
      <c r="AL123" s="1826"/>
      <c r="AM123" s="418"/>
      <c r="AN123" s="385"/>
      <c r="AR123" s="196"/>
    </row>
    <row r="124" spans="1:44" s="12" customFormat="1" hidden="1" outlineLevel="2" x14ac:dyDescent="0.25">
      <c r="A124" s="287"/>
      <c r="B124" s="13"/>
      <c r="C124" s="1833" t="s">
        <v>1322</v>
      </c>
      <c r="D124" s="1817" t="s">
        <v>1552</v>
      </c>
      <c r="E124" s="1817"/>
      <c r="F124" s="1817"/>
      <c r="G124" s="1817"/>
      <c r="H124" s="1817"/>
      <c r="I124" s="1817"/>
      <c r="J124" s="1817"/>
      <c r="K124" s="1817"/>
      <c r="L124" s="1817"/>
      <c r="M124" s="1817"/>
      <c r="N124" s="1817"/>
      <c r="O124" s="1817"/>
      <c r="P124" s="1829" t="s">
        <v>1169</v>
      </c>
      <c r="Q124" s="1831" t="s">
        <v>1168</v>
      </c>
      <c r="R124" s="197"/>
      <c r="AE124" s="381"/>
      <c r="AF124" s="451"/>
      <c r="AG124" s="451"/>
      <c r="AH124" s="1826"/>
      <c r="AI124" s="1826"/>
      <c r="AJ124" s="1826"/>
      <c r="AK124" s="1826"/>
      <c r="AL124" s="1826"/>
      <c r="AM124" s="418"/>
      <c r="AN124" s="385"/>
      <c r="AR124" s="196"/>
    </row>
    <row r="125" spans="1:44" s="12" customFormat="1" ht="29.25" hidden="1" customHeight="1" outlineLevel="2" x14ac:dyDescent="0.25">
      <c r="A125" s="287"/>
      <c r="B125" s="13"/>
      <c r="C125" s="1834"/>
      <c r="D125" s="225" t="s">
        <v>752</v>
      </c>
      <c r="E125" s="225" t="s">
        <v>753</v>
      </c>
      <c r="F125" s="225" t="s">
        <v>754</v>
      </c>
      <c r="G125" s="225" t="s">
        <v>755</v>
      </c>
      <c r="H125" s="225" t="s">
        <v>756</v>
      </c>
      <c r="I125" s="225" t="s">
        <v>757</v>
      </c>
      <c r="J125" s="225" t="s">
        <v>758</v>
      </c>
      <c r="K125" s="225" t="s">
        <v>759</v>
      </c>
      <c r="L125" s="225" t="s">
        <v>760</v>
      </c>
      <c r="M125" s="225" t="s">
        <v>761</v>
      </c>
      <c r="N125" s="225" t="s">
        <v>762</v>
      </c>
      <c r="O125" s="225" t="s">
        <v>763</v>
      </c>
      <c r="P125" s="1830"/>
      <c r="Q125" s="1832"/>
      <c r="R125" s="197"/>
      <c r="AE125" s="381"/>
      <c r="AF125" s="451"/>
      <c r="AG125" s="451"/>
      <c r="AH125" s="1826"/>
      <c r="AI125" s="1826"/>
      <c r="AJ125" s="1826"/>
      <c r="AK125" s="1826"/>
      <c r="AL125" s="1826"/>
      <c r="AM125" s="418"/>
      <c r="AN125" s="385"/>
      <c r="AR125" s="196"/>
    </row>
    <row r="126" spans="1:44" s="12" customFormat="1" ht="26.25" hidden="1" customHeight="1" outlineLevel="2" x14ac:dyDescent="0.25">
      <c r="A126" s="287"/>
      <c r="B126" s="13"/>
      <c r="C126" s="631"/>
      <c r="D126" s="569"/>
      <c r="E126" s="570"/>
      <c r="F126" s="570"/>
      <c r="G126" s="570"/>
      <c r="H126" s="570"/>
      <c r="I126" s="570"/>
      <c r="J126" s="570"/>
      <c r="K126" s="570"/>
      <c r="L126" s="570"/>
      <c r="M126" s="570"/>
      <c r="N126" s="569"/>
      <c r="O126" s="569"/>
      <c r="P126" s="571"/>
      <c r="Q126" s="628"/>
      <c r="R126" s="197"/>
      <c r="AE126" s="381"/>
      <c r="AF126" s="451"/>
      <c r="AG126" s="451"/>
      <c r="AH126" s="1826"/>
      <c r="AI126" s="1826"/>
      <c r="AJ126" s="1826"/>
      <c r="AK126" s="1826"/>
      <c r="AL126" s="1826"/>
      <c r="AM126" s="418"/>
      <c r="AN126" s="385"/>
      <c r="AR126" s="196"/>
    </row>
    <row r="127" spans="1:44" s="12" customFormat="1" hidden="1" outlineLevel="2" x14ac:dyDescent="0.25">
      <c r="A127" s="287"/>
      <c r="B127" s="13"/>
      <c r="C127" s="631"/>
      <c r="D127" s="569"/>
      <c r="E127" s="569"/>
      <c r="F127" s="569"/>
      <c r="G127" s="569"/>
      <c r="H127" s="569"/>
      <c r="I127" s="569"/>
      <c r="J127" s="569"/>
      <c r="K127" s="569"/>
      <c r="L127" s="569"/>
      <c r="M127" s="569"/>
      <c r="N127" s="569"/>
      <c r="O127" s="569"/>
      <c r="P127" s="571"/>
      <c r="Q127" s="629"/>
      <c r="R127" s="197"/>
      <c r="AE127" s="381"/>
      <c r="AF127" s="451"/>
      <c r="AG127" s="451"/>
      <c r="AH127" s="1826"/>
      <c r="AI127" s="1826"/>
      <c r="AJ127" s="1826"/>
      <c r="AK127" s="1826"/>
      <c r="AL127" s="1826"/>
      <c r="AM127" s="418"/>
      <c r="AN127" s="385"/>
      <c r="AR127" s="196"/>
    </row>
    <row r="128" spans="1:44" s="12" customFormat="1" hidden="1" outlineLevel="2" x14ac:dyDescent="0.25">
      <c r="A128" s="287"/>
      <c r="B128" s="13"/>
      <c r="C128" s="631"/>
      <c r="D128" s="569"/>
      <c r="E128" s="570"/>
      <c r="F128" s="570"/>
      <c r="G128" s="570"/>
      <c r="H128" s="570"/>
      <c r="I128" s="570"/>
      <c r="J128" s="570"/>
      <c r="K128" s="570"/>
      <c r="L128" s="570"/>
      <c r="M128" s="570"/>
      <c r="N128" s="569"/>
      <c r="O128" s="569"/>
      <c r="P128" s="571"/>
      <c r="Q128" s="629"/>
      <c r="R128" s="197"/>
      <c r="AE128" s="381"/>
      <c r="AF128" s="451"/>
      <c r="AG128" s="451"/>
      <c r="AH128" s="1826"/>
      <c r="AI128" s="1826"/>
      <c r="AJ128" s="1826"/>
      <c r="AK128" s="1826"/>
      <c r="AL128" s="1826"/>
      <c r="AM128" s="418"/>
      <c r="AN128" s="385"/>
      <c r="AR128" s="196"/>
    </row>
    <row r="129" spans="1:44" s="12" customFormat="1" hidden="1" outlineLevel="2" x14ac:dyDescent="0.25">
      <c r="A129" s="287"/>
      <c r="B129" s="13"/>
      <c r="C129" s="631"/>
      <c r="D129" s="569"/>
      <c r="E129" s="569"/>
      <c r="F129" s="569"/>
      <c r="G129" s="569"/>
      <c r="H129" s="569"/>
      <c r="I129" s="569"/>
      <c r="J129" s="569"/>
      <c r="K129" s="569"/>
      <c r="L129" s="569"/>
      <c r="M129" s="569"/>
      <c r="N129" s="569"/>
      <c r="O129" s="569"/>
      <c r="P129" s="571"/>
      <c r="Q129" s="629"/>
      <c r="R129" s="197"/>
      <c r="AE129" s="385"/>
      <c r="AF129" s="385"/>
      <c r="AG129" s="385"/>
      <c r="AH129" s="385"/>
      <c r="AI129" s="385"/>
      <c r="AJ129" s="385"/>
      <c r="AK129" s="385"/>
      <c r="AL129" s="385"/>
      <c r="AM129" s="385"/>
      <c r="AN129" s="385"/>
      <c r="AR129" s="196"/>
    </row>
    <row r="130" spans="1:44" s="12" customFormat="1" hidden="1" outlineLevel="2" x14ac:dyDescent="0.25">
      <c r="A130" s="287"/>
      <c r="B130" s="13"/>
      <c r="C130" s="631"/>
      <c r="D130" s="569"/>
      <c r="E130" s="569"/>
      <c r="F130" s="569"/>
      <c r="G130" s="569"/>
      <c r="H130" s="569"/>
      <c r="I130" s="569"/>
      <c r="J130" s="569"/>
      <c r="K130" s="569"/>
      <c r="L130" s="569"/>
      <c r="M130" s="569"/>
      <c r="N130" s="569"/>
      <c r="O130" s="569"/>
      <c r="P130" s="571"/>
      <c r="Q130" s="629"/>
      <c r="R130" s="197"/>
      <c r="AE130" s="385"/>
      <c r="AF130" s="385"/>
      <c r="AG130" s="385"/>
      <c r="AH130" s="385"/>
      <c r="AI130" s="385"/>
      <c r="AJ130" s="385"/>
      <c r="AK130" s="385"/>
      <c r="AL130" s="385"/>
      <c r="AM130" s="385"/>
      <c r="AN130" s="385"/>
      <c r="AR130" s="196"/>
    </row>
    <row r="131" spans="1:44" s="12" customFormat="1" hidden="1" outlineLevel="2" x14ac:dyDescent="0.25">
      <c r="A131" s="287"/>
      <c r="B131" s="13"/>
      <c r="C131" s="631"/>
      <c r="D131" s="569"/>
      <c r="E131" s="569"/>
      <c r="F131" s="569"/>
      <c r="G131" s="569"/>
      <c r="H131" s="569"/>
      <c r="I131" s="569"/>
      <c r="J131" s="569"/>
      <c r="K131" s="569"/>
      <c r="L131" s="569"/>
      <c r="M131" s="569"/>
      <c r="N131" s="569"/>
      <c r="O131" s="569"/>
      <c r="P131" s="571"/>
      <c r="Q131" s="629"/>
      <c r="R131" s="197"/>
      <c r="AE131" s="385"/>
      <c r="AF131" s="385"/>
      <c r="AG131" s="385"/>
      <c r="AH131" s="385"/>
      <c r="AI131" s="385"/>
      <c r="AJ131" s="385"/>
      <c r="AK131" s="385"/>
      <c r="AL131" s="385"/>
      <c r="AM131" s="385"/>
      <c r="AN131" s="385"/>
      <c r="AR131" s="196"/>
    </row>
    <row r="132" spans="1:44" s="12" customFormat="1" hidden="1" outlineLevel="2" x14ac:dyDescent="0.25">
      <c r="A132" s="287"/>
      <c r="B132" s="13"/>
      <c r="C132" s="631"/>
      <c r="D132" s="569"/>
      <c r="E132" s="570"/>
      <c r="F132" s="570"/>
      <c r="G132" s="570"/>
      <c r="H132" s="570"/>
      <c r="I132" s="570"/>
      <c r="J132" s="570"/>
      <c r="K132" s="570"/>
      <c r="L132" s="570"/>
      <c r="M132" s="570"/>
      <c r="N132" s="569"/>
      <c r="O132" s="569"/>
      <c r="P132" s="571"/>
      <c r="Q132" s="629"/>
      <c r="R132" s="197"/>
      <c r="AE132" s="385"/>
      <c r="AF132" s="385"/>
      <c r="AG132" s="385"/>
      <c r="AH132" s="385"/>
      <c r="AI132" s="385"/>
      <c r="AJ132" s="385"/>
      <c r="AK132" s="385"/>
      <c r="AL132" s="385"/>
      <c r="AM132" s="385"/>
      <c r="AN132" s="385"/>
      <c r="AR132" s="196"/>
    </row>
    <row r="133" spans="1:44" s="12" customFormat="1" hidden="1" outlineLevel="2" x14ac:dyDescent="0.25">
      <c r="A133" s="287"/>
      <c r="B133" s="13"/>
      <c r="C133" s="631"/>
      <c r="D133" s="569"/>
      <c r="E133" s="570"/>
      <c r="F133" s="570"/>
      <c r="G133" s="570"/>
      <c r="H133" s="570"/>
      <c r="I133" s="570"/>
      <c r="J133" s="570"/>
      <c r="K133" s="570"/>
      <c r="L133" s="570"/>
      <c r="M133" s="570"/>
      <c r="N133" s="569"/>
      <c r="O133" s="569"/>
      <c r="P133" s="571"/>
      <c r="Q133" s="629"/>
      <c r="R133" s="197"/>
      <c r="AE133" s="385"/>
      <c r="AF133" s="385"/>
      <c r="AG133" s="385"/>
      <c r="AH133" s="385"/>
      <c r="AI133" s="385"/>
      <c r="AJ133" s="385"/>
      <c r="AK133" s="385"/>
      <c r="AL133" s="385"/>
      <c r="AM133" s="385"/>
      <c r="AN133" s="385"/>
      <c r="AR133" s="196"/>
    </row>
    <row r="134" spans="1:44" s="12" customFormat="1" hidden="1" outlineLevel="2" x14ac:dyDescent="0.25">
      <c r="A134" s="287"/>
      <c r="B134" s="13"/>
      <c r="C134" s="631"/>
      <c r="D134" s="569"/>
      <c r="E134" s="570"/>
      <c r="F134" s="570"/>
      <c r="G134" s="570"/>
      <c r="H134" s="570"/>
      <c r="I134" s="570"/>
      <c r="J134" s="570"/>
      <c r="K134" s="570"/>
      <c r="L134" s="570"/>
      <c r="M134" s="570"/>
      <c r="N134" s="569"/>
      <c r="O134" s="569"/>
      <c r="P134" s="571"/>
      <c r="Q134" s="629"/>
      <c r="R134" s="197"/>
      <c r="AE134" s="385"/>
      <c r="AF134" s="385"/>
      <c r="AG134" s="385"/>
      <c r="AH134" s="385"/>
      <c r="AI134" s="385"/>
      <c r="AJ134" s="385"/>
      <c r="AK134" s="385"/>
      <c r="AL134" s="385"/>
      <c r="AM134" s="385"/>
      <c r="AN134" s="385"/>
      <c r="AR134" s="196"/>
    </row>
    <row r="135" spans="1:44" s="12" customFormat="1" hidden="1" outlineLevel="2" x14ac:dyDescent="0.25">
      <c r="A135" s="287"/>
      <c r="B135" s="13"/>
      <c r="C135" s="631"/>
      <c r="D135" s="569"/>
      <c r="E135" s="570"/>
      <c r="F135" s="570"/>
      <c r="G135" s="570"/>
      <c r="H135" s="570"/>
      <c r="I135" s="570"/>
      <c r="J135" s="570"/>
      <c r="K135" s="570"/>
      <c r="L135" s="570"/>
      <c r="M135" s="570"/>
      <c r="N135" s="569"/>
      <c r="O135" s="569"/>
      <c r="P135" s="571"/>
      <c r="Q135" s="629"/>
      <c r="R135" s="197"/>
      <c r="AE135" s="385"/>
      <c r="AF135" s="385"/>
      <c r="AG135" s="385"/>
      <c r="AH135" s="385"/>
      <c r="AI135" s="385"/>
      <c r="AJ135" s="385"/>
      <c r="AK135" s="385"/>
      <c r="AL135" s="385"/>
      <c r="AM135" s="385"/>
      <c r="AN135" s="385"/>
      <c r="AR135" s="196"/>
    </row>
    <row r="136" spans="1:44" s="12" customFormat="1" hidden="1" outlineLevel="2" x14ac:dyDescent="0.25">
      <c r="A136" s="287"/>
      <c r="B136" s="13"/>
      <c r="C136" s="631"/>
      <c r="D136" s="569"/>
      <c r="E136" s="570"/>
      <c r="F136" s="570"/>
      <c r="G136" s="570"/>
      <c r="H136" s="570"/>
      <c r="I136" s="570"/>
      <c r="J136" s="570"/>
      <c r="K136" s="570"/>
      <c r="L136" s="570"/>
      <c r="M136" s="570"/>
      <c r="N136" s="569"/>
      <c r="O136" s="569"/>
      <c r="P136" s="571"/>
      <c r="Q136" s="629"/>
      <c r="R136" s="197"/>
      <c r="AE136" s="385"/>
      <c r="AF136" s="385"/>
      <c r="AG136" s="385"/>
      <c r="AH136" s="385"/>
      <c r="AI136" s="385"/>
      <c r="AJ136" s="385"/>
      <c r="AK136" s="385"/>
      <c r="AL136" s="385"/>
      <c r="AM136" s="385"/>
      <c r="AN136" s="385"/>
      <c r="AR136" s="196"/>
    </row>
    <row r="137" spans="1:44" s="12" customFormat="1" hidden="1" outlineLevel="2" x14ac:dyDescent="0.25">
      <c r="A137" s="287"/>
      <c r="B137" s="13"/>
      <c r="C137" s="631"/>
      <c r="D137" s="569"/>
      <c r="E137" s="570"/>
      <c r="F137" s="570"/>
      <c r="G137" s="570"/>
      <c r="H137" s="570"/>
      <c r="I137" s="570"/>
      <c r="J137" s="570"/>
      <c r="K137" s="570"/>
      <c r="L137" s="570"/>
      <c r="M137" s="570"/>
      <c r="N137" s="569"/>
      <c r="O137" s="569"/>
      <c r="P137" s="571"/>
      <c r="Q137" s="629"/>
      <c r="R137" s="197"/>
      <c r="AE137" s="385"/>
      <c r="AF137" s="385"/>
      <c r="AG137" s="385"/>
      <c r="AH137" s="385"/>
      <c r="AI137" s="385"/>
      <c r="AJ137" s="385"/>
      <c r="AK137" s="385"/>
      <c r="AL137" s="385"/>
      <c r="AM137" s="385"/>
      <c r="AN137" s="385"/>
      <c r="AR137" s="196"/>
    </row>
    <row r="138" spans="1:44" s="12" customFormat="1" hidden="1" outlineLevel="2" x14ac:dyDescent="0.25">
      <c r="A138" s="287"/>
      <c r="B138" s="13"/>
      <c r="C138" s="631"/>
      <c r="D138" s="569"/>
      <c r="E138" s="570"/>
      <c r="F138" s="570"/>
      <c r="G138" s="570"/>
      <c r="H138" s="570"/>
      <c r="I138" s="570"/>
      <c r="J138" s="570"/>
      <c r="K138" s="570"/>
      <c r="L138" s="570"/>
      <c r="M138" s="570"/>
      <c r="N138" s="569"/>
      <c r="O138" s="569"/>
      <c r="P138" s="571"/>
      <c r="Q138" s="629"/>
      <c r="R138" s="197"/>
      <c r="AE138" s="385"/>
      <c r="AF138" s="385"/>
      <c r="AG138" s="385"/>
      <c r="AH138" s="385"/>
      <c r="AI138" s="385"/>
      <c r="AJ138" s="385"/>
      <c r="AK138" s="385"/>
      <c r="AL138" s="385"/>
      <c r="AM138" s="385"/>
      <c r="AN138" s="385"/>
      <c r="AR138" s="196"/>
    </row>
    <row r="139" spans="1:44" s="12" customFormat="1" hidden="1" outlineLevel="2" x14ac:dyDescent="0.25">
      <c r="A139" s="287"/>
      <c r="B139" s="13"/>
      <c r="C139" s="631"/>
      <c r="D139" s="569"/>
      <c r="E139" s="570"/>
      <c r="F139" s="570"/>
      <c r="G139" s="570"/>
      <c r="H139" s="570"/>
      <c r="I139" s="570"/>
      <c r="J139" s="570"/>
      <c r="K139" s="570"/>
      <c r="L139" s="570"/>
      <c r="M139" s="570"/>
      <c r="N139" s="569"/>
      <c r="O139" s="569"/>
      <c r="P139" s="571"/>
      <c r="Q139" s="629"/>
      <c r="R139" s="197"/>
      <c r="AE139" s="385"/>
      <c r="AF139" s="385"/>
      <c r="AG139" s="385"/>
      <c r="AH139" s="385"/>
      <c r="AI139" s="385"/>
      <c r="AJ139" s="385"/>
      <c r="AK139" s="385"/>
      <c r="AL139" s="385"/>
      <c r="AM139" s="385"/>
      <c r="AN139" s="385"/>
      <c r="AR139" s="196"/>
    </row>
    <row r="140" spans="1:44" s="12" customFormat="1" ht="15.75" hidden="1" outlineLevel="2" thickBot="1" x14ac:dyDescent="0.3">
      <c r="A140" s="287"/>
      <c r="B140" s="13"/>
      <c r="C140" s="632"/>
      <c r="D140" s="633"/>
      <c r="E140" s="634"/>
      <c r="F140" s="634"/>
      <c r="G140" s="634"/>
      <c r="H140" s="634"/>
      <c r="I140" s="634"/>
      <c r="J140" s="634"/>
      <c r="K140" s="634"/>
      <c r="L140" s="634"/>
      <c r="M140" s="634"/>
      <c r="N140" s="633"/>
      <c r="O140" s="633"/>
      <c r="P140" s="635"/>
      <c r="Q140" s="630"/>
      <c r="R140" s="197"/>
      <c r="AE140" s="385"/>
      <c r="AF140" s="385"/>
      <c r="AG140" s="385"/>
      <c r="AH140" s="385"/>
      <c r="AI140" s="385"/>
      <c r="AJ140" s="385"/>
      <c r="AK140" s="385"/>
      <c r="AL140" s="385"/>
      <c r="AM140" s="385"/>
      <c r="AN140" s="385"/>
      <c r="AR140" s="196"/>
    </row>
    <row r="141" spans="1:44" s="12" customFormat="1" hidden="1" outlineLevel="2" x14ac:dyDescent="0.25">
      <c r="A141" s="287"/>
      <c r="B141" s="13"/>
      <c r="C141" s="432"/>
      <c r="D141" s="433"/>
      <c r="E141" s="434"/>
      <c r="F141" s="434"/>
      <c r="G141" s="434"/>
      <c r="H141" s="434"/>
      <c r="I141" s="434"/>
      <c r="J141" s="434"/>
      <c r="K141" s="434"/>
      <c r="L141" s="434"/>
      <c r="M141" s="434"/>
      <c r="N141" s="433"/>
      <c r="O141" s="433"/>
      <c r="P141" s="431"/>
      <c r="Q141" s="347"/>
      <c r="R141" s="197"/>
      <c r="AE141" s="385"/>
      <c r="AF141" s="385"/>
      <c r="AG141" s="385"/>
      <c r="AH141" s="385"/>
      <c r="AI141" s="385"/>
      <c r="AJ141" s="385"/>
      <c r="AK141" s="385"/>
      <c r="AL141" s="385"/>
      <c r="AM141" s="385"/>
      <c r="AN141" s="385"/>
      <c r="AR141" s="196"/>
    </row>
    <row r="142" spans="1:44" s="12" customFormat="1" hidden="1" outlineLevel="1" collapsed="1" x14ac:dyDescent="0.25">
      <c r="B142" s="285"/>
      <c r="C142" s="435"/>
      <c r="D142" s="436"/>
      <c r="E142" s="13"/>
      <c r="F142" s="13"/>
      <c r="G142" s="13"/>
      <c r="H142" s="13"/>
      <c r="I142" s="13"/>
      <c r="J142" s="13"/>
      <c r="K142" s="13"/>
      <c r="L142" s="13"/>
      <c r="M142" s="13"/>
      <c r="N142" s="13"/>
      <c r="O142" s="13"/>
      <c r="P142" s="197"/>
      <c r="Q142" s="347"/>
      <c r="R142" s="197"/>
      <c r="AE142" s="385"/>
      <c r="AF142" s="385"/>
      <c r="AG142" s="385"/>
      <c r="AH142" s="385"/>
      <c r="AI142" s="385"/>
      <c r="AJ142" s="385"/>
      <c r="AK142" s="385"/>
      <c r="AL142" s="385"/>
      <c r="AM142" s="385"/>
      <c r="AN142" s="385"/>
      <c r="AR142" s="196"/>
    </row>
    <row r="143" spans="1:44" s="12" customFormat="1" ht="15.75" hidden="1" outlineLevel="1" x14ac:dyDescent="0.25">
      <c r="A143" s="287"/>
      <c r="B143" s="1566" t="s">
        <v>498</v>
      </c>
      <c r="C143" s="1567"/>
      <c r="D143" s="1567"/>
      <c r="E143" s="1567"/>
      <c r="F143" s="1567"/>
      <c r="G143" s="1567"/>
      <c r="H143" s="1567"/>
      <c r="I143" s="1567"/>
      <c r="J143" s="1567"/>
      <c r="K143" s="1567"/>
      <c r="L143" s="1567"/>
      <c r="M143" s="1567"/>
      <c r="N143" s="1567"/>
      <c r="O143" s="1567"/>
      <c r="P143" s="1567"/>
      <c r="Q143" s="1568"/>
      <c r="R143" s="197"/>
      <c r="AE143" s="199"/>
      <c r="AF143" s="385"/>
      <c r="AG143" s="385"/>
      <c r="AH143" s="385"/>
      <c r="AI143" s="385"/>
      <c r="AJ143" s="385"/>
      <c r="AK143" s="385"/>
      <c r="AL143" s="385"/>
      <c r="AM143" s="385"/>
      <c r="AN143" s="385"/>
      <c r="AR143" s="196"/>
    </row>
    <row r="144" spans="1:44" s="12" customFormat="1" hidden="1" outlineLevel="1" x14ac:dyDescent="0.25">
      <c r="B144" s="1508"/>
      <c r="C144" s="1504"/>
      <c r="D144" s="1504"/>
      <c r="E144" s="1504"/>
      <c r="F144" s="1504"/>
      <c r="G144" s="1504"/>
      <c r="H144" s="1504"/>
      <c r="I144" s="1504"/>
      <c r="J144" s="1504"/>
      <c r="K144" s="1504"/>
      <c r="L144" s="1504"/>
      <c r="M144" s="1504"/>
      <c r="N144" s="1504"/>
      <c r="O144" s="1504"/>
      <c r="P144" s="1504"/>
      <c r="Q144" s="1509"/>
      <c r="AE144" s="385"/>
      <c r="AF144" s="385"/>
      <c r="AG144" s="385"/>
      <c r="AH144" s="385"/>
      <c r="AI144" s="385"/>
      <c r="AJ144" s="385"/>
      <c r="AK144" s="385"/>
      <c r="AL144" s="385"/>
      <c r="AM144" s="385"/>
      <c r="AN144" s="385"/>
    </row>
    <row r="145" spans="1:61" s="173" customFormat="1" ht="16.5" hidden="1" outlineLevel="1" thickBot="1" x14ac:dyDescent="0.3">
      <c r="A145" s="6"/>
      <c r="B145" s="92"/>
      <c r="C145" s="25" t="s">
        <v>0</v>
      </c>
      <c r="D145" s="25"/>
      <c r="E145" s="25"/>
      <c r="F145" s="25"/>
      <c r="G145" s="25"/>
      <c r="H145" s="25"/>
      <c r="I145" s="25"/>
      <c r="J145" s="25"/>
      <c r="K145" s="25"/>
      <c r="L145" s="25"/>
      <c r="M145" s="25"/>
      <c r="N145" s="25"/>
      <c r="O145" s="25"/>
      <c r="P145" s="1"/>
      <c r="Q145" s="93"/>
      <c r="R145" s="6"/>
      <c r="S145" s="6"/>
      <c r="T145" s="6"/>
      <c r="U145" s="6"/>
      <c r="V145" s="6"/>
      <c r="W145" s="6"/>
      <c r="X145" s="6"/>
      <c r="Y145" s="6"/>
      <c r="Z145" s="6"/>
      <c r="AA145" s="6"/>
      <c r="AB145" s="6"/>
      <c r="AC145" s="6"/>
      <c r="AD145" s="6"/>
      <c r="AE145" s="415"/>
      <c r="AF145" s="415"/>
      <c r="AG145" s="415"/>
      <c r="AH145" s="415"/>
      <c r="AI145" s="415"/>
      <c r="AJ145" s="415"/>
      <c r="AK145" s="415"/>
      <c r="AL145" s="415"/>
      <c r="AM145" s="415"/>
      <c r="AN145" s="415"/>
      <c r="AO145" s="6"/>
      <c r="AP145" s="6"/>
      <c r="AQ145" s="6"/>
      <c r="AR145" s="6"/>
      <c r="AS145" s="6"/>
      <c r="AT145" s="6"/>
      <c r="AU145" s="6"/>
      <c r="AV145" s="6"/>
      <c r="AW145" s="6"/>
      <c r="AX145" s="6"/>
      <c r="AY145" s="6"/>
      <c r="AZ145" s="6"/>
      <c r="BA145" s="6"/>
      <c r="BB145" s="6"/>
      <c r="BC145" s="6"/>
      <c r="BD145" s="6"/>
      <c r="BE145" s="6"/>
      <c r="BF145" s="6"/>
      <c r="BG145" s="6"/>
      <c r="BH145" s="6"/>
      <c r="BI145" s="6"/>
    </row>
    <row r="146" spans="1:61" ht="18.75" hidden="1" outlineLevel="2" x14ac:dyDescent="0.35">
      <c r="B146" s="92"/>
      <c r="C146" s="1827" t="s">
        <v>1294</v>
      </c>
      <c r="D146" s="1828"/>
      <c r="E146" s="1835" t="str">
        <f>IFERROR(IF($K$78="Dependência e Impacto",'Apoio Regulação de Polinização'!O111,""),"-")</f>
        <v/>
      </c>
      <c r="F146" s="1835"/>
      <c r="G146" s="1117"/>
      <c r="H146" s="1"/>
      <c r="I146" s="1"/>
      <c r="J146" s="1"/>
      <c r="K146" s="1"/>
      <c r="L146" s="1"/>
      <c r="M146" s="1"/>
      <c r="N146" s="1"/>
      <c r="O146" s="1"/>
      <c r="P146" s="25"/>
      <c r="Q146" s="93"/>
    </row>
    <row r="147" spans="1:61" ht="16.5" hidden="1" outlineLevel="2" thickBot="1" x14ac:dyDescent="0.3">
      <c r="B147" s="92"/>
      <c r="C147" s="1114" t="s">
        <v>1129</v>
      </c>
      <c r="D147" s="1116"/>
      <c r="E147" s="1857" t="str">
        <f>IFERROR(IF(E146="","",K82*K81*K83*E146),"-")</f>
        <v/>
      </c>
      <c r="F147" s="1857"/>
      <c r="G147" s="1115" t="s">
        <v>13</v>
      </c>
      <c r="H147" s="1"/>
      <c r="I147" s="1"/>
      <c r="J147" s="1"/>
      <c r="K147" s="1"/>
      <c r="L147" s="1"/>
      <c r="M147" s="1"/>
      <c r="N147" s="1"/>
      <c r="O147" s="1"/>
      <c r="P147" s="1"/>
      <c r="Q147" s="93"/>
    </row>
    <row r="148" spans="1:61" s="23" customFormat="1" ht="15.75" hidden="1" outlineLevel="2" x14ac:dyDescent="0.25">
      <c r="B148" s="45"/>
      <c r="C148" s="177"/>
      <c r="D148" s="327"/>
      <c r="E148" s="327"/>
      <c r="F148" s="327"/>
      <c r="G148" s="1"/>
      <c r="H148" s="1"/>
      <c r="I148" s="1"/>
      <c r="J148" s="1"/>
      <c r="K148" s="1"/>
      <c r="L148" s="1"/>
      <c r="M148" s="1"/>
      <c r="N148" s="1"/>
      <c r="O148" s="1"/>
      <c r="P148" s="1"/>
      <c r="Q148" s="334"/>
      <c r="R148" s="185"/>
      <c r="S148" s="185"/>
      <c r="T148" s="185"/>
      <c r="U148" s="185"/>
      <c r="V148" s="185"/>
      <c r="W148" s="185"/>
      <c r="X148" s="185"/>
      <c r="Y148" s="185"/>
      <c r="AE148" s="24"/>
      <c r="AF148" s="24"/>
      <c r="AG148" s="24"/>
      <c r="AH148" s="24"/>
      <c r="AI148" s="24"/>
      <c r="AJ148" s="24"/>
      <c r="AK148" s="24"/>
      <c r="AL148" s="24"/>
      <c r="AM148" s="24"/>
      <c r="AN148" s="24"/>
    </row>
    <row r="149" spans="1:61" ht="15.75" hidden="1" outlineLevel="2" x14ac:dyDescent="0.25">
      <c r="B149" s="92"/>
      <c r="C149" s="328" t="s">
        <v>1177</v>
      </c>
      <c r="D149" s="1"/>
      <c r="E149" s="329"/>
      <c r="F149" s="329"/>
      <c r="G149" s="329"/>
      <c r="H149" s="329"/>
      <c r="I149" s="329"/>
      <c r="J149" s="329"/>
      <c r="K149" s="329"/>
      <c r="L149" s="329"/>
      <c r="M149" s="329"/>
      <c r="N149" s="329"/>
      <c r="O149" s="329"/>
      <c r="P149" s="1"/>
      <c r="Q149" s="93"/>
    </row>
    <row r="150" spans="1:61" ht="16.5" hidden="1" outlineLevel="2" thickBot="1" x14ac:dyDescent="0.3">
      <c r="B150" s="92"/>
      <c r="C150" s="353" t="s">
        <v>1171</v>
      </c>
      <c r="D150" s="325"/>
      <c r="E150" s="329"/>
      <c r="F150" s="329"/>
      <c r="G150" s="329"/>
      <c r="H150" s="329"/>
      <c r="I150" s="329"/>
      <c r="J150" s="329"/>
      <c r="K150" s="329"/>
      <c r="L150" s="329"/>
      <c r="M150" s="329"/>
      <c r="N150" s="329"/>
      <c r="O150" s="329"/>
      <c r="P150" s="1"/>
      <c r="Q150" s="93"/>
    </row>
    <row r="151" spans="1:61" ht="15.75" hidden="1" customHeight="1" outlineLevel="2" x14ac:dyDescent="0.25">
      <c r="B151" s="92"/>
      <c r="C151" s="1860" t="s">
        <v>1124</v>
      </c>
      <c r="D151" s="1775" t="s">
        <v>1123</v>
      </c>
      <c r="E151" s="1776"/>
      <c r="F151" s="1776"/>
      <c r="G151" s="1776"/>
      <c r="H151" s="1776"/>
      <c r="I151" s="1776"/>
      <c r="J151" s="1776"/>
      <c r="K151" s="1776"/>
      <c r="L151" s="1776"/>
      <c r="M151" s="1776"/>
      <c r="N151" s="1777"/>
      <c r="O151" s="1773" t="s">
        <v>1231</v>
      </c>
      <c r="P151" s="1"/>
      <c r="Q151" s="93"/>
    </row>
    <row r="152" spans="1:61" ht="15.75" hidden="1" outlineLevel="2" x14ac:dyDescent="0.25">
      <c r="B152" s="92"/>
      <c r="C152" s="1861"/>
      <c r="D152" s="336" t="s">
        <v>1125</v>
      </c>
      <c r="E152" s="337">
        <v>1</v>
      </c>
      <c r="F152" s="337">
        <v>2</v>
      </c>
      <c r="G152" s="337">
        <v>3</v>
      </c>
      <c r="H152" s="337">
        <v>4</v>
      </c>
      <c r="I152" s="337">
        <v>5</v>
      </c>
      <c r="J152" s="337">
        <v>6</v>
      </c>
      <c r="K152" s="337">
        <v>7</v>
      </c>
      <c r="L152" s="337">
        <v>8</v>
      </c>
      <c r="M152" s="337">
        <v>9</v>
      </c>
      <c r="N152" s="337">
        <v>10</v>
      </c>
      <c r="O152" s="1774"/>
      <c r="P152" s="377"/>
      <c r="Q152" s="93"/>
    </row>
    <row r="153" spans="1:61" ht="15.75" hidden="1" outlineLevel="2" x14ac:dyDescent="0.25">
      <c r="B153" s="92"/>
      <c r="C153" s="486"/>
      <c r="D153" s="338">
        <v>1</v>
      </c>
      <c r="E153" s="559"/>
      <c r="F153" s="559"/>
      <c r="G153" s="559"/>
      <c r="H153" s="559"/>
      <c r="I153" s="559"/>
      <c r="J153" s="559"/>
      <c r="K153" s="559"/>
      <c r="L153" s="559"/>
      <c r="M153" s="559"/>
      <c r="N153" s="559"/>
      <c r="O153" s="445">
        <f>SUM(E153:N153)</f>
        <v>0</v>
      </c>
      <c r="P153" s="200"/>
      <c r="Q153" s="93"/>
    </row>
    <row r="154" spans="1:61" ht="15.75" hidden="1" customHeight="1" outlineLevel="2" x14ac:dyDescent="0.25">
      <c r="B154" s="92"/>
      <c r="C154" s="486"/>
      <c r="D154" s="338">
        <v>2</v>
      </c>
      <c r="E154" s="559"/>
      <c r="F154" s="559"/>
      <c r="G154" s="559"/>
      <c r="H154" s="559"/>
      <c r="I154" s="559"/>
      <c r="J154" s="559"/>
      <c r="K154" s="559"/>
      <c r="L154" s="559"/>
      <c r="M154" s="559"/>
      <c r="N154" s="559"/>
      <c r="O154" s="445">
        <f t="shared" ref="O154:O162" si="2">SUM(E154:N154)</f>
        <v>0</v>
      </c>
      <c r="P154" s="378"/>
      <c r="Q154" s="52"/>
      <c r="R154" s="114"/>
      <c r="S154" s="114"/>
      <c r="T154" s="114"/>
      <c r="U154" s="114"/>
      <c r="V154" s="114"/>
      <c r="W154" s="114"/>
      <c r="X154" s="114"/>
      <c r="Y154" s="114"/>
      <c r="Z154" s="114"/>
    </row>
    <row r="155" spans="1:61" ht="15.75" hidden="1" outlineLevel="2" x14ac:dyDescent="0.25">
      <c r="B155" s="92"/>
      <c r="C155" s="486"/>
      <c r="D155" s="338">
        <v>3</v>
      </c>
      <c r="E155" s="559"/>
      <c r="F155" s="559"/>
      <c r="G155" s="559"/>
      <c r="H155" s="559"/>
      <c r="I155" s="559"/>
      <c r="J155" s="559"/>
      <c r="K155" s="559"/>
      <c r="L155" s="559"/>
      <c r="M155" s="559"/>
      <c r="N155" s="559"/>
      <c r="O155" s="445">
        <f t="shared" si="2"/>
        <v>0</v>
      </c>
      <c r="P155" s="376"/>
      <c r="Q155" s="348"/>
      <c r="R155" s="200"/>
      <c r="S155" s="200"/>
      <c r="T155" s="200"/>
      <c r="U155" s="200"/>
      <c r="V155" s="200"/>
      <c r="W155" s="200"/>
      <c r="X155" s="1838"/>
      <c r="Y155" s="1838"/>
      <c r="Z155" s="114"/>
    </row>
    <row r="156" spans="1:61" ht="15" hidden="1" customHeight="1" outlineLevel="2" x14ac:dyDescent="0.25">
      <c r="B156" s="92"/>
      <c r="C156" s="486"/>
      <c r="D156" s="338">
        <v>4</v>
      </c>
      <c r="E156" s="559"/>
      <c r="F156" s="559"/>
      <c r="G156" s="559"/>
      <c r="H156" s="559"/>
      <c r="I156" s="559"/>
      <c r="J156" s="559"/>
      <c r="K156" s="559"/>
      <c r="L156" s="559"/>
      <c r="M156" s="559"/>
      <c r="N156" s="559"/>
      <c r="O156" s="445">
        <f t="shared" si="2"/>
        <v>0</v>
      </c>
      <c r="P156" s="376"/>
      <c r="Q156" s="360"/>
      <c r="R156" s="1839"/>
      <c r="S156" s="1839"/>
      <c r="T156" s="1839"/>
      <c r="U156" s="1839"/>
      <c r="V156" s="1839"/>
      <c r="W156" s="1839"/>
      <c r="X156" s="1838"/>
      <c r="Y156" s="1838"/>
      <c r="Z156" s="114"/>
    </row>
    <row r="157" spans="1:61" ht="15" hidden="1" customHeight="1" outlineLevel="2" x14ac:dyDescent="0.25">
      <c r="B157" s="92"/>
      <c r="C157" s="486"/>
      <c r="D157" s="338">
        <v>5</v>
      </c>
      <c r="E157" s="559"/>
      <c r="F157" s="559"/>
      <c r="G157" s="559"/>
      <c r="H157" s="559"/>
      <c r="I157" s="559"/>
      <c r="J157" s="559"/>
      <c r="K157" s="559"/>
      <c r="L157" s="559"/>
      <c r="M157" s="559"/>
      <c r="N157" s="559"/>
      <c r="O157" s="445">
        <f t="shared" si="2"/>
        <v>0</v>
      </c>
      <c r="P157" s="376"/>
      <c r="Q157" s="361"/>
      <c r="R157" s="1836"/>
      <c r="S157" s="1836"/>
      <c r="T157" s="1836"/>
      <c r="U157" s="1836"/>
      <c r="V157" s="1836"/>
      <c r="W157" s="1836"/>
      <c r="X157" s="1837"/>
      <c r="Y157" s="1837"/>
      <c r="Z157" s="114"/>
    </row>
    <row r="158" spans="1:61" ht="15" hidden="1" customHeight="1" outlineLevel="2" x14ac:dyDescent="0.25">
      <c r="B158" s="92"/>
      <c r="C158" s="486"/>
      <c r="D158" s="338">
        <v>6</v>
      </c>
      <c r="E158" s="559"/>
      <c r="F158" s="559"/>
      <c r="G158" s="559"/>
      <c r="H158" s="559"/>
      <c r="I158" s="559"/>
      <c r="J158" s="559"/>
      <c r="K158" s="559"/>
      <c r="L158" s="559"/>
      <c r="M158" s="559"/>
      <c r="N158" s="559"/>
      <c r="O158" s="445">
        <f t="shared" si="2"/>
        <v>0</v>
      </c>
      <c r="P158" s="376"/>
      <c r="Q158" s="361"/>
      <c r="R158" s="1836"/>
      <c r="S158" s="1836"/>
      <c r="T158" s="1836"/>
      <c r="U158" s="1836"/>
      <c r="V158" s="1836"/>
      <c r="W158" s="1836"/>
      <c r="X158" s="1837"/>
      <c r="Y158" s="1837"/>
      <c r="Z158" s="114"/>
    </row>
    <row r="159" spans="1:61" ht="15" hidden="1" customHeight="1" outlineLevel="2" x14ac:dyDescent="0.25">
      <c r="B159" s="92"/>
      <c r="C159" s="486"/>
      <c r="D159" s="338">
        <v>7</v>
      </c>
      <c r="E159" s="559"/>
      <c r="F159" s="559"/>
      <c r="G159" s="559"/>
      <c r="H159" s="559"/>
      <c r="I159" s="559"/>
      <c r="J159" s="559"/>
      <c r="K159" s="559"/>
      <c r="L159" s="559"/>
      <c r="M159" s="559"/>
      <c r="N159" s="559"/>
      <c r="O159" s="445">
        <f t="shared" si="2"/>
        <v>0</v>
      </c>
      <c r="P159" s="376"/>
      <c r="Q159" s="361"/>
      <c r="R159" s="1836"/>
      <c r="S159" s="1836"/>
      <c r="T159" s="1836"/>
      <c r="U159" s="1836"/>
      <c r="V159" s="1836"/>
      <c r="W159" s="1836"/>
      <c r="X159" s="1837"/>
      <c r="Y159" s="1837"/>
      <c r="Z159" s="114"/>
    </row>
    <row r="160" spans="1:61" ht="15" hidden="1" customHeight="1" outlineLevel="2" x14ac:dyDescent="0.25">
      <c r="B160" s="92"/>
      <c r="C160" s="486"/>
      <c r="D160" s="338">
        <v>8</v>
      </c>
      <c r="E160" s="559"/>
      <c r="F160" s="559"/>
      <c r="G160" s="559"/>
      <c r="H160" s="559"/>
      <c r="I160" s="559"/>
      <c r="J160" s="559"/>
      <c r="K160" s="559"/>
      <c r="L160" s="559"/>
      <c r="M160" s="559"/>
      <c r="N160" s="559"/>
      <c r="O160" s="445">
        <f t="shared" si="2"/>
        <v>0</v>
      </c>
      <c r="P160" s="376"/>
      <c r="Q160" s="361"/>
      <c r="R160" s="1836"/>
      <c r="S160" s="1836"/>
      <c r="T160" s="1836"/>
      <c r="U160" s="1836"/>
      <c r="V160" s="1836"/>
      <c r="W160" s="1836"/>
      <c r="X160" s="1837"/>
      <c r="Y160" s="1837"/>
      <c r="Z160" s="114"/>
    </row>
    <row r="161" spans="2:40" ht="15" hidden="1" customHeight="1" outlineLevel="2" x14ac:dyDescent="0.25">
      <c r="B161" s="92"/>
      <c r="C161" s="486"/>
      <c r="D161" s="338">
        <v>9</v>
      </c>
      <c r="E161" s="559"/>
      <c r="F161" s="559"/>
      <c r="G161" s="559"/>
      <c r="H161" s="559"/>
      <c r="I161" s="559"/>
      <c r="J161" s="559"/>
      <c r="K161" s="559"/>
      <c r="L161" s="559"/>
      <c r="M161" s="559"/>
      <c r="N161" s="559"/>
      <c r="O161" s="445">
        <f t="shared" si="2"/>
        <v>0</v>
      </c>
      <c r="P161" s="376"/>
      <c r="Q161" s="361"/>
      <c r="R161" s="1836"/>
      <c r="S161" s="1836"/>
      <c r="T161" s="1836"/>
      <c r="U161" s="1836"/>
      <c r="V161" s="1836"/>
      <c r="W161" s="1836"/>
      <c r="X161" s="1837"/>
      <c r="Y161" s="1837"/>
      <c r="Z161" s="114"/>
    </row>
    <row r="162" spans="2:40" ht="15" hidden="1" customHeight="1" outlineLevel="2" thickBot="1" x14ac:dyDescent="0.3">
      <c r="B162" s="92"/>
      <c r="C162" s="487"/>
      <c r="D162" s="339">
        <v>10</v>
      </c>
      <c r="E162" s="560"/>
      <c r="F162" s="560"/>
      <c r="G162" s="560"/>
      <c r="H162" s="560"/>
      <c r="I162" s="560"/>
      <c r="J162" s="560"/>
      <c r="K162" s="560"/>
      <c r="L162" s="560"/>
      <c r="M162" s="560"/>
      <c r="N162" s="560"/>
      <c r="O162" s="446">
        <f t="shared" si="2"/>
        <v>0</v>
      </c>
      <c r="P162" s="376"/>
      <c r="Q162" s="361"/>
      <c r="R162" s="1836"/>
      <c r="S162" s="1836"/>
      <c r="T162" s="1836"/>
      <c r="U162" s="1836"/>
      <c r="V162" s="1836"/>
      <c r="W162" s="1836"/>
      <c r="X162" s="1837"/>
      <c r="Y162" s="1837"/>
      <c r="Z162" s="114"/>
    </row>
    <row r="163" spans="2:40" ht="15" hidden="1" customHeight="1" outlineLevel="1" collapsed="1" thickBot="1" x14ac:dyDescent="0.3">
      <c r="B163" s="92"/>
      <c r="C163" s="1768" t="s">
        <v>1153</v>
      </c>
      <c r="D163" s="1769"/>
      <c r="E163" s="1757">
        <f>SUM(O153:O162)</f>
        <v>0</v>
      </c>
      <c r="F163" s="1757"/>
      <c r="G163" s="1758"/>
      <c r="H163" s="1"/>
      <c r="I163" s="1"/>
      <c r="J163" s="1"/>
      <c r="K163" s="1"/>
      <c r="L163" s="1"/>
      <c r="M163" s="1"/>
      <c r="N163" s="1"/>
      <c r="O163" s="1"/>
      <c r="P163" s="376"/>
      <c r="Q163" s="361"/>
      <c r="R163" s="1836"/>
      <c r="S163" s="1836"/>
      <c r="T163" s="1836"/>
      <c r="U163" s="1836"/>
      <c r="V163" s="1836"/>
      <c r="W163" s="1836"/>
      <c r="X163" s="1837"/>
      <c r="Y163" s="1837"/>
      <c r="Z163" s="114"/>
    </row>
    <row r="164" spans="2:40" ht="15" hidden="1" customHeight="1" outlineLevel="1" x14ac:dyDescent="0.25">
      <c r="B164" s="92"/>
      <c r="C164" s="1"/>
      <c r="D164" s="1"/>
      <c r="E164" s="1"/>
      <c r="F164" s="1"/>
      <c r="G164" s="1"/>
      <c r="H164" s="1"/>
      <c r="I164" s="1"/>
      <c r="J164" s="1"/>
      <c r="K164" s="1"/>
      <c r="L164" s="1"/>
      <c r="M164" s="1"/>
      <c r="N164" s="1"/>
      <c r="O164" s="1"/>
      <c r="P164" s="377"/>
      <c r="Q164" s="361"/>
      <c r="R164" s="1836"/>
      <c r="S164" s="1836"/>
      <c r="T164" s="1836"/>
      <c r="U164" s="1836"/>
      <c r="V164" s="1836"/>
      <c r="W164" s="1836"/>
      <c r="X164" s="1837"/>
      <c r="Y164" s="1837"/>
      <c r="Z164" s="114"/>
    </row>
    <row r="165" spans="2:40" ht="15" hidden="1" customHeight="1" outlineLevel="1" thickBot="1" x14ac:dyDescent="0.3">
      <c r="B165" s="92"/>
      <c r="C165" s="25" t="s">
        <v>1</v>
      </c>
      <c r="D165" s="25"/>
      <c r="E165" s="25"/>
      <c r="F165" s="25"/>
      <c r="G165" s="25"/>
      <c r="H165" s="25"/>
      <c r="I165" s="25"/>
      <c r="J165" s="25"/>
      <c r="K165" s="25"/>
      <c r="L165" s="25"/>
      <c r="M165" s="25"/>
      <c r="N165" s="25"/>
      <c r="O165" s="25"/>
      <c r="P165" s="1"/>
      <c r="Q165" s="361"/>
      <c r="R165" s="1836"/>
      <c r="S165" s="1836"/>
      <c r="T165" s="1836"/>
      <c r="U165" s="1836"/>
      <c r="V165" s="1836"/>
      <c r="W165" s="1836"/>
      <c r="X165" s="1837"/>
      <c r="Y165" s="1837"/>
      <c r="Z165" s="114"/>
    </row>
    <row r="166" spans="2:40" ht="15" hidden="1" customHeight="1" outlineLevel="2" x14ac:dyDescent="0.35">
      <c r="B166" s="92"/>
      <c r="C166" s="457" t="s">
        <v>1296</v>
      </c>
      <c r="D166" s="1760" t="str">
        <f>IFERROR(IF(K78="Dependência e impacto",('Apoio Regulação de Polinização'!O104*'Apoio Regulação de Polinização'!O102^2+'Apoio Regulação de Polinização'!O105*'Apoio Regulação de Polinização'!O102)/'Regulação de polinização'!K82,""),"-")</f>
        <v/>
      </c>
      <c r="E166" s="1760"/>
      <c r="F166" s="622"/>
      <c r="G166" s="1"/>
      <c r="H166" s="1"/>
      <c r="I166" s="1"/>
      <c r="J166" s="1"/>
      <c r="K166" s="1"/>
      <c r="L166" s="1"/>
      <c r="M166" s="1"/>
      <c r="N166" s="1"/>
      <c r="O166" s="1"/>
      <c r="P166" s="1"/>
      <c r="Q166" s="52"/>
      <c r="R166" s="114"/>
      <c r="S166" s="114"/>
      <c r="T166" s="114"/>
      <c r="U166" s="114"/>
      <c r="V166" s="114"/>
      <c r="W166" s="114"/>
      <c r="X166" s="114"/>
      <c r="Y166" s="114"/>
      <c r="Z166" s="114"/>
    </row>
    <row r="167" spans="2:40" ht="16.5" hidden="1" outlineLevel="2" thickBot="1" x14ac:dyDescent="0.3">
      <c r="B167" s="92"/>
      <c r="C167" s="459" t="s">
        <v>506</v>
      </c>
      <c r="D167" s="1856" t="str">
        <f>IFERROR(IF(D166="","",K82*K81*K83*D166),"-")</f>
        <v/>
      </c>
      <c r="E167" s="1856"/>
      <c r="F167" s="1113" t="s">
        <v>13</v>
      </c>
      <c r="G167" s="1"/>
      <c r="H167" s="1"/>
      <c r="I167" s="1"/>
      <c r="J167" s="1"/>
      <c r="K167" s="1"/>
      <c r="L167" s="1"/>
      <c r="M167" s="1"/>
      <c r="N167" s="1"/>
      <c r="O167" s="1"/>
      <c r="P167" s="25"/>
      <c r="Q167" s="93"/>
    </row>
    <row r="168" spans="2:40" hidden="1" outlineLevel="2" x14ac:dyDescent="0.25">
      <c r="B168" s="92"/>
      <c r="C168" s="177"/>
      <c r="D168" s="327"/>
      <c r="E168" s="327"/>
      <c r="F168" s="327"/>
      <c r="G168" s="1"/>
      <c r="H168" s="1"/>
      <c r="I168" s="1"/>
      <c r="J168" s="1"/>
      <c r="K168" s="1"/>
      <c r="L168" s="1"/>
      <c r="M168" s="1"/>
      <c r="N168" s="1"/>
      <c r="O168" s="1"/>
      <c r="P168" s="1"/>
      <c r="Q168" s="93"/>
    </row>
    <row r="169" spans="2:40" s="23" customFormat="1" ht="15.75" hidden="1" outlineLevel="2" collapsed="1" x14ac:dyDescent="0.25">
      <c r="B169" s="45"/>
      <c r="C169" s="279" t="s">
        <v>1178</v>
      </c>
      <c r="D169" s="1"/>
      <c r="E169" s="1"/>
      <c r="F169" s="1"/>
      <c r="G169" s="1"/>
      <c r="H169" s="1"/>
      <c r="I169" s="1"/>
      <c r="J169" s="1"/>
      <c r="K169" s="1"/>
      <c r="L169" s="1"/>
      <c r="M169" s="1"/>
      <c r="N169" s="1"/>
      <c r="O169" s="1"/>
      <c r="P169" s="1"/>
      <c r="Q169" s="334"/>
      <c r="R169" s="185"/>
      <c r="S169" s="185"/>
      <c r="T169" s="185"/>
      <c r="U169" s="185"/>
      <c r="V169" s="185"/>
      <c r="W169" s="185"/>
      <c r="X169" s="185"/>
      <c r="Y169" s="185"/>
      <c r="AE169" s="24"/>
      <c r="AF169" s="24"/>
      <c r="AG169" s="24"/>
      <c r="AH169" s="24"/>
      <c r="AI169" s="24"/>
      <c r="AJ169" s="24"/>
      <c r="AK169" s="24"/>
      <c r="AL169" s="24"/>
      <c r="AM169" s="24"/>
      <c r="AN169" s="24"/>
    </row>
    <row r="170" spans="2:40" ht="16.5" hidden="1" outlineLevel="2" thickBot="1" x14ac:dyDescent="0.3">
      <c r="B170" s="92"/>
      <c r="C170" s="357" t="s">
        <v>1174</v>
      </c>
      <c r="D170" s="331"/>
      <c r="E170" s="1"/>
      <c r="F170" s="1"/>
      <c r="G170" s="1"/>
      <c r="H170" s="1"/>
      <c r="I170" s="1"/>
      <c r="J170" s="1"/>
      <c r="K170" s="1"/>
      <c r="L170" s="1"/>
      <c r="M170" s="1"/>
      <c r="N170" s="1"/>
      <c r="O170" s="1"/>
      <c r="P170" s="1"/>
      <c r="Q170" s="93"/>
    </row>
    <row r="171" spans="2:40" hidden="1" outlineLevel="2" x14ac:dyDescent="0.25">
      <c r="B171" s="92"/>
      <c r="C171" s="1761" t="s">
        <v>1124</v>
      </c>
      <c r="D171" s="1763" t="s">
        <v>1123</v>
      </c>
      <c r="E171" s="1763"/>
      <c r="F171" s="1763"/>
      <c r="G171" s="1763"/>
      <c r="H171" s="1763"/>
      <c r="I171" s="1763"/>
      <c r="J171" s="1763"/>
      <c r="K171" s="1763"/>
      <c r="L171" s="1763"/>
      <c r="M171" s="1763"/>
      <c r="N171" s="1763"/>
      <c r="O171" s="1771" t="s">
        <v>1230</v>
      </c>
      <c r="P171" s="1"/>
      <c r="Q171" s="93"/>
    </row>
    <row r="172" spans="2:40" hidden="1" outlineLevel="2" x14ac:dyDescent="0.25">
      <c r="B172" s="92"/>
      <c r="C172" s="1762"/>
      <c r="D172" s="358" t="s">
        <v>1175</v>
      </c>
      <c r="E172" s="340">
        <v>1</v>
      </c>
      <c r="F172" s="340">
        <v>2</v>
      </c>
      <c r="G172" s="340">
        <v>3</v>
      </c>
      <c r="H172" s="340">
        <v>4</v>
      </c>
      <c r="I172" s="340">
        <v>5</v>
      </c>
      <c r="J172" s="340">
        <v>6</v>
      </c>
      <c r="K172" s="340">
        <v>7</v>
      </c>
      <c r="L172" s="340">
        <v>8</v>
      </c>
      <c r="M172" s="340">
        <v>9</v>
      </c>
      <c r="N172" s="340">
        <v>10</v>
      </c>
      <c r="O172" s="1772"/>
      <c r="P172" s="1"/>
      <c r="Q172" s="93"/>
    </row>
    <row r="173" spans="2:40" hidden="1" outlineLevel="2" x14ac:dyDescent="0.25">
      <c r="B173" s="92"/>
      <c r="C173" s="486"/>
      <c r="D173" s="340">
        <v>1</v>
      </c>
      <c r="E173" s="559"/>
      <c r="F173" s="559"/>
      <c r="G173" s="559"/>
      <c r="H173" s="559"/>
      <c r="I173" s="559"/>
      <c r="J173" s="559"/>
      <c r="K173" s="559"/>
      <c r="L173" s="559"/>
      <c r="M173" s="559"/>
      <c r="N173" s="559"/>
      <c r="O173" s="623">
        <f>SUM(E173:N173)</f>
        <v>0</v>
      </c>
      <c r="P173" s="1"/>
      <c r="Q173" s="93"/>
    </row>
    <row r="174" spans="2:40" hidden="1" outlineLevel="2" x14ac:dyDescent="0.25">
      <c r="B174" s="92"/>
      <c r="C174" s="486"/>
      <c r="D174" s="340">
        <v>2</v>
      </c>
      <c r="E174" s="559"/>
      <c r="F174" s="559"/>
      <c r="G174" s="559"/>
      <c r="H174" s="559"/>
      <c r="I174" s="559"/>
      <c r="J174" s="559"/>
      <c r="K174" s="559"/>
      <c r="L174" s="559"/>
      <c r="M174" s="559"/>
      <c r="N174" s="559"/>
      <c r="O174" s="624">
        <f t="shared" ref="O174:O182" si="3">SUM(E174:N174)</f>
        <v>0</v>
      </c>
      <c r="P174" s="377"/>
      <c r="Q174" s="93"/>
    </row>
    <row r="175" spans="2:40" hidden="1" outlineLevel="2" x14ac:dyDescent="0.25">
      <c r="B175" s="92"/>
      <c r="C175" s="486"/>
      <c r="D175" s="340">
        <v>3</v>
      </c>
      <c r="E175" s="559"/>
      <c r="F175" s="559"/>
      <c r="G175" s="559"/>
      <c r="H175" s="559"/>
      <c r="I175" s="559"/>
      <c r="J175" s="559"/>
      <c r="K175" s="559"/>
      <c r="L175" s="559"/>
      <c r="M175" s="559"/>
      <c r="N175" s="559"/>
      <c r="O175" s="624">
        <f t="shared" si="3"/>
        <v>0</v>
      </c>
      <c r="P175" s="200"/>
      <c r="Q175" s="93"/>
    </row>
    <row r="176" spans="2:40" ht="15.75" hidden="1" customHeight="1" outlineLevel="2" x14ac:dyDescent="0.25">
      <c r="B176" s="92"/>
      <c r="C176" s="486"/>
      <c r="D176" s="340">
        <v>4</v>
      </c>
      <c r="E176" s="559"/>
      <c r="F176" s="559"/>
      <c r="G176" s="559"/>
      <c r="H176" s="559"/>
      <c r="I176" s="559"/>
      <c r="J176" s="559"/>
      <c r="K176" s="559"/>
      <c r="L176" s="559"/>
      <c r="M176" s="559"/>
      <c r="N176" s="559"/>
      <c r="O176" s="624">
        <f t="shared" si="3"/>
        <v>0</v>
      </c>
      <c r="P176" s="378"/>
      <c r="Q176" s="52"/>
      <c r="R176" s="114"/>
      <c r="S176" s="114"/>
      <c r="T176" s="114"/>
      <c r="U176" s="114"/>
      <c r="V176" s="114"/>
      <c r="W176" s="114"/>
      <c r="X176" s="114"/>
      <c r="Y176" s="114"/>
      <c r="Z176" s="114"/>
    </row>
    <row r="177" spans="2:40" hidden="1" outlineLevel="2" x14ac:dyDescent="0.25">
      <c r="B177" s="92"/>
      <c r="C177" s="486"/>
      <c r="D177" s="340">
        <v>5</v>
      </c>
      <c r="E177" s="559"/>
      <c r="F177" s="559"/>
      <c r="G177" s="559"/>
      <c r="H177" s="559"/>
      <c r="I177" s="559"/>
      <c r="J177" s="559"/>
      <c r="K177" s="559"/>
      <c r="L177" s="559"/>
      <c r="M177" s="559"/>
      <c r="N177" s="559"/>
      <c r="O177" s="624">
        <f t="shared" si="3"/>
        <v>0</v>
      </c>
      <c r="P177" s="376"/>
      <c r="Q177" s="348"/>
      <c r="R177" s="200"/>
      <c r="S177" s="200"/>
      <c r="T177" s="200"/>
      <c r="U177" s="200"/>
      <c r="V177" s="200"/>
      <c r="W177" s="200"/>
      <c r="X177" s="1838"/>
      <c r="Y177" s="1838"/>
      <c r="Z177" s="114"/>
    </row>
    <row r="178" spans="2:40" ht="15" hidden="1" customHeight="1" outlineLevel="2" x14ac:dyDescent="0.25">
      <c r="B178" s="92"/>
      <c r="C178" s="486"/>
      <c r="D178" s="340">
        <v>6</v>
      </c>
      <c r="E178" s="559"/>
      <c r="F178" s="559"/>
      <c r="G178" s="559"/>
      <c r="H178" s="559"/>
      <c r="I178" s="559"/>
      <c r="J178" s="559"/>
      <c r="K178" s="559"/>
      <c r="L178" s="559"/>
      <c r="M178" s="559"/>
      <c r="N178" s="559"/>
      <c r="O178" s="624">
        <f t="shared" si="3"/>
        <v>0</v>
      </c>
      <c r="P178" s="376"/>
      <c r="Q178" s="360"/>
      <c r="R178" s="1839"/>
      <c r="S178" s="1839"/>
      <c r="T178" s="1839"/>
      <c r="U178" s="1839"/>
      <c r="V178" s="1839"/>
      <c r="W178" s="1839"/>
      <c r="X178" s="1838"/>
      <c r="Y178" s="1838"/>
      <c r="Z178" s="114"/>
    </row>
    <row r="179" spans="2:40" ht="15" hidden="1" customHeight="1" outlineLevel="2" x14ac:dyDescent="0.25">
      <c r="B179" s="92"/>
      <c r="C179" s="486"/>
      <c r="D179" s="340">
        <v>7</v>
      </c>
      <c r="E179" s="559"/>
      <c r="F179" s="559"/>
      <c r="G179" s="559"/>
      <c r="H179" s="559"/>
      <c r="I179" s="559"/>
      <c r="J179" s="559"/>
      <c r="K179" s="559"/>
      <c r="L179" s="559"/>
      <c r="M179" s="559"/>
      <c r="N179" s="559"/>
      <c r="O179" s="624">
        <f t="shared" si="3"/>
        <v>0</v>
      </c>
      <c r="P179" s="376"/>
      <c r="Q179" s="361"/>
      <c r="R179" s="1836"/>
      <c r="S179" s="1836"/>
      <c r="T179" s="1836"/>
      <c r="U179" s="1836"/>
      <c r="V179" s="1836"/>
      <c r="W179" s="1836"/>
      <c r="X179" s="1837"/>
      <c r="Y179" s="1837"/>
      <c r="Z179" s="114"/>
    </row>
    <row r="180" spans="2:40" ht="15" hidden="1" customHeight="1" outlineLevel="2" x14ac:dyDescent="0.25">
      <c r="B180" s="92"/>
      <c r="C180" s="486"/>
      <c r="D180" s="340">
        <v>8</v>
      </c>
      <c r="E180" s="559"/>
      <c r="F180" s="559"/>
      <c r="G180" s="559"/>
      <c r="H180" s="559"/>
      <c r="I180" s="559"/>
      <c r="J180" s="559"/>
      <c r="K180" s="559"/>
      <c r="L180" s="559"/>
      <c r="M180" s="559"/>
      <c r="N180" s="559"/>
      <c r="O180" s="624">
        <f t="shared" si="3"/>
        <v>0</v>
      </c>
      <c r="P180" s="376"/>
      <c r="Q180" s="361"/>
      <c r="R180" s="1836"/>
      <c r="S180" s="1836"/>
      <c r="T180" s="1836"/>
      <c r="U180" s="1836"/>
      <c r="V180" s="1836"/>
      <c r="W180" s="1836"/>
      <c r="X180" s="1837"/>
      <c r="Y180" s="1837"/>
      <c r="Z180" s="114"/>
    </row>
    <row r="181" spans="2:40" ht="15" hidden="1" customHeight="1" outlineLevel="2" x14ac:dyDescent="0.25">
      <c r="B181" s="92"/>
      <c r="C181" s="486"/>
      <c r="D181" s="340">
        <v>9</v>
      </c>
      <c r="E181" s="559"/>
      <c r="F181" s="559"/>
      <c r="G181" s="559"/>
      <c r="H181" s="559"/>
      <c r="I181" s="559"/>
      <c r="J181" s="559"/>
      <c r="K181" s="559"/>
      <c r="L181" s="559"/>
      <c r="M181" s="559"/>
      <c r="N181" s="559"/>
      <c r="O181" s="624">
        <f t="shared" si="3"/>
        <v>0</v>
      </c>
      <c r="P181" s="376"/>
      <c r="Q181" s="361"/>
      <c r="R181" s="1836"/>
      <c r="S181" s="1836"/>
      <c r="T181" s="1836"/>
      <c r="U181" s="1836"/>
      <c r="V181" s="1836"/>
      <c r="W181" s="1836"/>
      <c r="X181" s="1837"/>
      <c r="Y181" s="1837"/>
      <c r="Z181" s="114"/>
    </row>
    <row r="182" spans="2:40" ht="15" hidden="1" customHeight="1" outlineLevel="2" thickBot="1" x14ac:dyDescent="0.3">
      <c r="B182" s="92"/>
      <c r="C182" s="487"/>
      <c r="D182" s="341">
        <v>10</v>
      </c>
      <c r="E182" s="560"/>
      <c r="F182" s="560"/>
      <c r="G182" s="560"/>
      <c r="H182" s="560"/>
      <c r="I182" s="560"/>
      <c r="J182" s="560"/>
      <c r="K182" s="560"/>
      <c r="L182" s="560"/>
      <c r="M182" s="560"/>
      <c r="N182" s="560"/>
      <c r="O182" s="625">
        <f t="shared" si="3"/>
        <v>0</v>
      </c>
      <c r="P182" s="376"/>
      <c r="Q182" s="361"/>
      <c r="R182" s="1836"/>
      <c r="S182" s="1836"/>
      <c r="T182" s="1836"/>
      <c r="U182" s="1836"/>
      <c r="V182" s="1836"/>
      <c r="W182" s="1836"/>
      <c r="X182" s="1837"/>
      <c r="Y182" s="1837"/>
      <c r="Z182" s="114"/>
    </row>
    <row r="183" spans="2:40" ht="15" hidden="1" customHeight="1" outlineLevel="1" collapsed="1" thickBot="1" x14ac:dyDescent="0.3">
      <c r="B183" s="92"/>
      <c r="C183" s="1753" t="s">
        <v>1153</v>
      </c>
      <c r="D183" s="1754"/>
      <c r="E183" s="1755">
        <f>SUM(O173:O182)</f>
        <v>0</v>
      </c>
      <c r="F183" s="1755"/>
      <c r="G183" s="1756"/>
      <c r="H183" s="1"/>
      <c r="I183" s="1"/>
      <c r="J183" s="1"/>
      <c r="K183" s="1"/>
      <c r="L183" s="1"/>
      <c r="M183" s="1"/>
      <c r="N183" s="1"/>
      <c r="O183" s="1"/>
      <c r="P183" s="376"/>
      <c r="Q183" s="361"/>
      <c r="R183" s="1836"/>
      <c r="S183" s="1836"/>
      <c r="T183" s="1836"/>
      <c r="U183" s="1836"/>
      <c r="V183" s="1836"/>
      <c r="W183" s="1836"/>
      <c r="X183" s="1837"/>
      <c r="Y183" s="1837"/>
      <c r="Z183" s="114"/>
    </row>
    <row r="184" spans="2:40" ht="15" hidden="1" customHeight="1" outlineLevel="1" x14ac:dyDescent="0.25">
      <c r="B184" s="92"/>
      <c r="C184" s="1"/>
      <c r="D184" s="1"/>
      <c r="E184" s="1"/>
      <c r="F184" s="1"/>
      <c r="G184" s="1"/>
      <c r="H184" s="1"/>
      <c r="I184" s="1"/>
      <c r="J184" s="1"/>
      <c r="K184" s="1"/>
      <c r="L184" s="1"/>
      <c r="M184" s="1"/>
      <c r="N184" s="1"/>
      <c r="O184" s="1"/>
      <c r="P184" s="376"/>
      <c r="Q184" s="361"/>
      <c r="R184" s="1836"/>
      <c r="S184" s="1836"/>
      <c r="T184" s="1836"/>
      <c r="U184" s="1836"/>
      <c r="V184" s="1836"/>
      <c r="W184" s="1836"/>
      <c r="X184" s="1837"/>
      <c r="Y184" s="1837"/>
      <c r="Z184" s="114"/>
    </row>
    <row r="185" spans="2:40" ht="15" hidden="1" customHeight="1" outlineLevel="1" thickBot="1" x14ac:dyDescent="0.3">
      <c r="B185" s="92"/>
      <c r="C185" s="25" t="s">
        <v>2</v>
      </c>
      <c r="D185" s="25"/>
      <c r="E185" s="25"/>
      <c r="F185" s="25"/>
      <c r="G185" s="25"/>
      <c r="H185" s="25"/>
      <c r="I185" s="25"/>
      <c r="J185" s="25"/>
      <c r="K185" s="25"/>
      <c r="L185" s="25"/>
      <c r="M185" s="25"/>
      <c r="N185" s="25"/>
      <c r="O185" s="25"/>
      <c r="P185" s="376"/>
      <c r="Q185" s="361"/>
      <c r="R185" s="1836"/>
      <c r="S185" s="1836"/>
      <c r="T185" s="1836"/>
      <c r="U185" s="1836"/>
      <c r="V185" s="1836"/>
      <c r="W185" s="1836"/>
      <c r="X185" s="1837"/>
      <c r="Y185" s="1837"/>
      <c r="Z185" s="114"/>
    </row>
    <row r="186" spans="2:40" ht="15" hidden="1" customHeight="1" outlineLevel="2" x14ac:dyDescent="0.25">
      <c r="B186" s="92"/>
      <c r="C186" s="201" t="s">
        <v>1130</v>
      </c>
      <c r="D186" s="1842" t="str">
        <f>IFERROR(IF(K78="Externalidade",('Apoio Regulação de Polinização'!O104*'Apoio Regulação de Polinização'!O102^2+'Apoio Regulação de Polinização'!O105*'Apoio Regulação de Polinização'!O102)/K82,""),"")</f>
        <v/>
      </c>
      <c r="E186" s="1842"/>
      <c r="F186" s="202"/>
      <c r="G186" s="13"/>
      <c r="H186" s="1"/>
      <c r="I186" s="1"/>
      <c r="J186" s="400"/>
      <c r="K186" s="1"/>
      <c r="L186" s="1"/>
      <c r="M186" s="1"/>
      <c r="N186" s="1"/>
      <c r="O186" s="1"/>
      <c r="P186" s="377"/>
      <c r="Q186" s="361"/>
      <c r="R186" s="1836"/>
      <c r="S186" s="1836"/>
      <c r="T186" s="1836"/>
      <c r="U186" s="1836"/>
      <c r="V186" s="1836"/>
      <c r="W186" s="1836"/>
      <c r="X186" s="1837"/>
      <c r="Y186" s="1837"/>
      <c r="Z186" s="114"/>
    </row>
    <row r="187" spans="2:40" ht="15" hidden="1" customHeight="1" outlineLevel="2" thickBot="1" x14ac:dyDescent="0.3">
      <c r="B187" s="92"/>
      <c r="C187" s="203" t="s">
        <v>506</v>
      </c>
      <c r="D187" s="1845" t="str">
        <f>IF(D186="","",K82*K81*K83*D186)</f>
        <v/>
      </c>
      <c r="E187" s="1845"/>
      <c r="F187" s="1118" t="s">
        <v>13</v>
      </c>
      <c r="G187" s="1"/>
      <c r="H187" s="1"/>
      <c r="I187" s="1"/>
      <c r="J187" s="1"/>
      <c r="K187" s="1"/>
      <c r="L187" s="1"/>
      <c r="M187" s="1"/>
      <c r="N187" s="1"/>
      <c r="O187" s="1"/>
      <c r="P187" s="1"/>
      <c r="Q187" s="361"/>
      <c r="R187" s="1836"/>
      <c r="S187" s="1836"/>
      <c r="T187" s="1836"/>
      <c r="U187" s="1836"/>
      <c r="V187" s="1836"/>
      <c r="W187" s="1836"/>
      <c r="X187" s="1837"/>
      <c r="Y187" s="1837"/>
      <c r="Z187" s="114"/>
    </row>
    <row r="188" spans="2:40" ht="15" hidden="1" customHeight="1" outlineLevel="2" x14ac:dyDescent="0.25">
      <c r="B188" s="92"/>
      <c r="C188" s="177"/>
      <c r="D188" s="327"/>
      <c r="E188" s="327"/>
      <c r="F188" s="327"/>
      <c r="G188" s="1"/>
      <c r="H188" s="1"/>
      <c r="I188" s="1"/>
      <c r="J188" s="1"/>
      <c r="K188" s="1"/>
      <c r="L188" s="1"/>
      <c r="M188" s="1"/>
      <c r="N188" s="1"/>
      <c r="O188" s="1"/>
      <c r="P188" s="1"/>
      <c r="Q188" s="52"/>
      <c r="R188" s="114"/>
      <c r="S188" s="114"/>
      <c r="T188" s="114"/>
      <c r="U188" s="114"/>
      <c r="V188" s="114"/>
      <c r="W188" s="114"/>
      <c r="X188" s="114"/>
      <c r="Y188" s="114"/>
      <c r="Z188" s="114"/>
    </row>
    <row r="189" spans="2:40" ht="15.75" hidden="1" outlineLevel="2" x14ac:dyDescent="0.25">
      <c r="B189" s="92"/>
      <c r="C189" s="279" t="s">
        <v>1179</v>
      </c>
      <c r="D189" s="331"/>
      <c r="E189" s="1"/>
      <c r="F189" s="1"/>
      <c r="G189" s="1"/>
      <c r="H189" s="1"/>
      <c r="I189" s="1"/>
      <c r="J189" s="1"/>
      <c r="K189" s="1"/>
      <c r="L189" s="1"/>
      <c r="M189" s="1"/>
      <c r="N189" s="1"/>
      <c r="O189" s="1"/>
      <c r="P189" s="25"/>
      <c r="Q189" s="93"/>
    </row>
    <row r="190" spans="2:40" ht="16.5" hidden="1" outlineLevel="2" thickBot="1" x14ac:dyDescent="0.3">
      <c r="B190" s="92"/>
      <c r="C190" s="357" t="s">
        <v>1174</v>
      </c>
      <c r="D190" s="331"/>
      <c r="E190" s="1"/>
      <c r="F190" s="1"/>
      <c r="G190" s="1"/>
      <c r="H190" s="1"/>
      <c r="I190" s="1"/>
      <c r="J190" s="1"/>
      <c r="K190" s="1"/>
      <c r="L190" s="1"/>
      <c r="M190" s="1"/>
      <c r="N190" s="1"/>
      <c r="O190" s="1"/>
      <c r="P190" s="1"/>
      <c r="Q190" s="93"/>
    </row>
    <row r="191" spans="2:40" s="23" customFormat="1" ht="15.75" hidden="1" outlineLevel="2" collapsed="1" x14ac:dyDescent="0.25">
      <c r="B191" s="45"/>
      <c r="C191" s="1761" t="s">
        <v>1124</v>
      </c>
      <c r="D191" s="1851" t="s">
        <v>1123</v>
      </c>
      <c r="E191" s="1852"/>
      <c r="F191" s="1852"/>
      <c r="G191" s="1852"/>
      <c r="H191" s="1852"/>
      <c r="I191" s="1852"/>
      <c r="J191" s="1852"/>
      <c r="K191" s="1852"/>
      <c r="L191" s="1852"/>
      <c r="M191" s="1852"/>
      <c r="N191" s="1853"/>
      <c r="O191" s="1854" t="s">
        <v>1230</v>
      </c>
      <c r="P191" s="1"/>
      <c r="Q191" s="334"/>
      <c r="R191" s="185"/>
      <c r="S191" s="185"/>
      <c r="T191" s="185"/>
      <c r="U191" s="185"/>
      <c r="V191" s="185"/>
      <c r="W191" s="185"/>
      <c r="X191" s="185"/>
      <c r="Y191" s="185"/>
      <c r="AE191" s="24"/>
      <c r="AF191" s="24"/>
      <c r="AG191" s="24"/>
      <c r="AH191" s="24"/>
      <c r="AI191" s="24"/>
      <c r="AJ191" s="24"/>
      <c r="AK191" s="24"/>
      <c r="AL191" s="24"/>
      <c r="AM191" s="24"/>
      <c r="AN191" s="24"/>
    </row>
    <row r="192" spans="2:40" hidden="1" outlineLevel="2" x14ac:dyDescent="0.25">
      <c r="B192" s="92"/>
      <c r="C192" s="1762"/>
      <c r="D192" s="358" t="s">
        <v>1175</v>
      </c>
      <c r="E192" s="340">
        <v>1</v>
      </c>
      <c r="F192" s="340">
        <v>2</v>
      </c>
      <c r="G192" s="340">
        <v>3</v>
      </c>
      <c r="H192" s="340">
        <v>4</v>
      </c>
      <c r="I192" s="340">
        <v>5</v>
      </c>
      <c r="J192" s="340">
        <v>6</v>
      </c>
      <c r="K192" s="340">
        <v>7</v>
      </c>
      <c r="L192" s="340">
        <v>8</v>
      </c>
      <c r="M192" s="340">
        <v>9</v>
      </c>
      <c r="N192" s="340">
        <v>10</v>
      </c>
      <c r="O192" s="1855"/>
      <c r="P192" s="1"/>
      <c r="Q192" s="93"/>
    </row>
    <row r="193" spans="1:26" hidden="1" outlineLevel="2" x14ac:dyDescent="0.25">
      <c r="B193" s="92"/>
      <c r="C193" s="486"/>
      <c r="D193" s="340">
        <v>1</v>
      </c>
      <c r="E193" s="559"/>
      <c r="F193" s="559"/>
      <c r="G193" s="559"/>
      <c r="H193" s="559"/>
      <c r="I193" s="559"/>
      <c r="J193" s="559"/>
      <c r="K193" s="559"/>
      <c r="L193" s="559"/>
      <c r="M193" s="559"/>
      <c r="N193" s="559"/>
      <c r="O193" s="452">
        <f t="shared" ref="O193:O202" si="4">SUM(E193:N193)</f>
        <v>0</v>
      </c>
      <c r="P193" s="1"/>
      <c r="Q193" s="93"/>
    </row>
    <row r="194" spans="1:26" hidden="1" outlineLevel="2" x14ac:dyDescent="0.25">
      <c r="B194" s="92"/>
      <c r="C194" s="486"/>
      <c r="D194" s="340">
        <v>2</v>
      </c>
      <c r="E194" s="559"/>
      <c r="F194" s="559"/>
      <c r="G194" s="559"/>
      <c r="H194" s="559"/>
      <c r="I194" s="559"/>
      <c r="J194" s="559"/>
      <c r="K194" s="559"/>
      <c r="L194" s="559"/>
      <c r="M194" s="559"/>
      <c r="N194" s="559"/>
      <c r="O194" s="452">
        <f t="shared" si="4"/>
        <v>0</v>
      </c>
      <c r="P194" s="1"/>
      <c r="Q194" s="93"/>
    </row>
    <row r="195" spans="1:26" hidden="1" outlineLevel="2" x14ac:dyDescent="0.25">
      <c r="B195" s="92"/>
      <c r="C195" s="486"/>
      <c r="D195" s="340">
        <v>3</v>
      </c>
      <c r="E195" s="559"/>
      <c r="F195" s="559"/>
      <c r="G195" s="559"/>
      <c r="H195" s="559"/>
      <c r="I195" s="559"/>
      <c r="J195" s="559"/>
      <c r="K195" s="559"/>
      <c r="L195" s="559"/>
      <c r="M195" s="559"/>
      <c r="N195" s="559"/>
      <c r="O195" s="452">
        <f t="shared" si="4"/>
        <v>0</v>
      </c>
      <c r="P195" s="1"/>
      <c r="Q195" s="93"/>
    </row>
    <row r="196" spans="1:26" hidden="1" outlineLevel="2" x14ac:dyDescent="0.25">
      <c r="B196" s="92"/>
      <c r="C196" s="486"/>
      <c r="D196" s="340">
        <v>4</v>
      </c>
      <c r="E196" s="559"/>
      <c r="F196" s="559"/>
      <c r="G196" s="559"/>
      <c r="H196" s="559"/>
      <c r="I196" s="559"/>
      <c r="J196" s="559"/>
      <c r="K196" s="559"/>
      <c r="L196" s="559"/>
      <c r="M196" s="559"/>
      <c r="N196" s="559"/>
      <c r="O196" s="452">
        <f t="shared" si="4"/>
        <v>0</v>
      </c>
      <c r="P196" s="1"/>
      <c r="Q196" s="93"/>
    </row>
    <row r="197" spans="1:26" hidden="1" outlineLevel="2" x14ac:dyDescent="0.25">
      <c r="B197" s="92"/>
      <c r="C197" s="486"/>
      <c r="D197" s="340">
        <v>5</v>
      </c>
      <c r="E197" s="559"/>
      <c r="F197" s="559"/>
      <c r="G197" s="559"/>
      <c r="H197" s="559"/>
      <c r="I197" s="559"/>
      <c r="J197" s="559"/>
      <c r="K197" s="559"/>
      <c r="L197" s="559"/>
      <c r="M197" s="559"/>
      <c r="N197" s="559"/>
      <c r="O197" s="452">
        <f t="shared" si="4"/>
        <v>0</v>
      </c>
      <c r="P197" s="204"/>
      <c r="Q197" s="93"/>
    </row>
    <row r="198" spans="1:26" ht="15.75" hidden="1" customHeight="1" outlineLevel="2" x14ac:dyDescent="0.25">
      <c r="B198" s="92"/>
      <c r="C198" s="486"/>
      <c r="D198" s="340">
        <v>6</v>
      </c>
      <c r="E198" s="559"/>
      <c r="F198" s="559"/>
      <c r="G198" s="559"/>
      <c r="H198" s="559"/>
      <c r="I198" s="559"/>
      <c r="J198" s="559"/>
      <c r="K198" s="559"/>
      <c r="L198" s="559"/>
      <c r="M198" s="559"/>
      <c r="N198" s="559"/>
      <c r="O198" s="452">
        <f t="shared" si="4"/>
        <v>0</v>
      </c>
      <c r="P198" s="380"/>
      <c r="Q198" s="93"/>
    </row>
    <row r="199" spans="1:26" hidden="1" outlineLevel="2" x14ac:dyDescent="0.25">
      <c r="B199" s="92"/>
      <c r="C199" s="486"/>
      <c r="D199" s="340">
        <v>7</v>
      </c>
      <c r="E199" s="559"/>
      <c r="F199" s="559"/>
      <c r="G199" s="559"/>
      <c r="H199" s="559"/>
      <c r="I199" s="559"/>
      <c r="J199" s="559"/>
      <c r="K199" s="559"/>
      <c r="L199" s="559"/>
      <c r="M199" s="559"/>
      <c r="N199" s="559"/>
      <c r="O199" s="452">
        <f t="shared" si="4"/>
        <v>0</v>
      </c>
      <c r="P199" s="379"/>
      <c r="Q199" s="349"/>
      <c r="R199" s="204"/>
      <c r="S199" s="204"/>
      <c r="T199" s="204"/>
      <c r="U199" s="204"/>
      <c r="V199" s="204"/>
      <c r="W199" s="204"/>
      <c r="X199" s="1843"/>
      <c r="Y199" s="1843"/>
      <c r="Z199" s="5"/>
    </row>
    <row r="200" spans="1:26" ht="15" hidden="1" customHeight="1" outlineLevel="2" x14ac:dyDescent="0.25">
      <c r="B200" s="92"/>
      <c r="C200" s="486"/>
      <c r="D200" s="340">
        <v>8</v>
      </c>
      <c r="E200" s="559"/>
      <c r="F200" s="559"/>
      <c r="G200" s="559"/>
      <c r="H200" s="559"/>
      <c r="I200" s="559"/>
      <c r="J200" s="559"/>
      <c r="K200" s="559"/>
      <c r="L200" s="559"/>
      <c r="M200" s="559"/>
      <c r="N200" s="559"/>
      <c r="O200" s="452">
        <f t="shared" si="4"/>
        <v>0</v>
      </c>
      <c r="P200" s="379"/>
      <c r="Q200" s="362"/>
      <c r="R200" s="1844"/>
      <c r="S200" s="1844"/>
      <c r="T200" s="1844"/>
      <c r="U200" s="1844"/>
      <c r="V200" s="1844"/>
      <c r="W200" s="1844"/>
      <c r="X200" s="1843"/>
      <c r="Y200" s="1843"/>
      <c r="Z200" s="5"/>
    </row>
    <row r="201" spans="1:26" ht="15" hidden="1" customHeight="1" outlineLevel="2" x14ac:dyDescent="0.25">
      <c r="B201" s="92"/>
      <c r="C201" s="486"/>
      <c r="D201" s="340">
        <v>9</v>
      </c>
      <c r="E201" s="559"/>
      <c r="F201" s="559"/>
      <c r="G201" s="559"/>
      <c r="H201" s="559"/>
      <c r="I201" s="559"/>
      <c r="J201" s="559"/>
      <c r="K201" s="559"/>
      <c r="L201" s="559"/>
      <c r="M201" s="559"/>
      <c r="N201" s="559"/>
      <c r="O201" s="452">
        <f t="shared" si="4"/>
        <v>0</v>
      </c>
      <c r="P201" s="379"/>
      <c r="Q201" s="363"/>
      <c r="R201" s="1840"/>
      <c r="S201" s="1840"/>
      <c r="T201" s="1840"/>
      <c r="U201" s="1840"/>
      <c r="V201" s="1840"/>
      <c r="W201" s="1840"/>
      <c r="X201" s="1841"/>
      <c r="Y201" s="1841"/>
      <c r="Z201" s="5"/>
    </row>
    <row r="202" spans="1:26" ht="15" hidden="1" customHeight="1" outlineLevel="2" thickBot="1" x14ac:dyDescent="0.3">
      <c r="B202" s="92"/>
      <c r="C202" s="487"/>
      <c r="D202" s="341">
        <v>10</v>
      </c>
      <c r="E202" s="560"/>
      <c r="F202" s="560"/>
      <c r="G202" s="560"/>
      <c r="H202" s="560"/>
      <c r="I202" s="560"/>
      <c r="J202" s="560"/>
      <c r="K202" s="560"/>
      <c r="L202" s="560"/>
      <c r="M202" s="560"/>
      <c r="N202" s="560"/>
      <c r="O202" s="453">
        <f t="shared" si="4"/>
        <v>0</v>
      </c>
      <c r="P202" s="379"/>
      <c r="Q202" s="363"/>
      <c r="R202" s="1840"/>
      <c r="S202" s="1840"/>
      <c r="T202" s="1840"/>
      <c r="U202" s="1840"/>
      <c r="V202" s="1840"/>
      <c r="W202" s="1840"/>
      <c r="X202" s="1841"/>
      <c r="Y202" s="1841"/>
      <c r="Z202" s="5"/>
    </row>
    <row r="203" spans="1:26" ht="15" hidden="1" customHeight="1" outlineLevel="1" collapsed="1" thickBot="1" x14ac:dyDescent="0.3">
      <c r="B203" s="92"/>
      <c r="C203" s="1846" t="s">
        <v>1153</v>
      </c>
      <c r="D203" s="1847"/>
      <c r="E203" s="1848">
        <f>SUM(O193:O202)</f>
        <v>0</v>
      </c>
      <c r="F203" s="1848"/>
      <c r="G203" s="1849"/>
      <c r="H203" s="1"/>
      <c r="I203" s="1"/>
      <c r="J203" s="1"/>
      <c r="K203" s="1"/>
      <c r="L203" s="1"/>
      <c r="M203" s="1"/>
      <c r="N203" s="1"/>
      <c r="O203" s="1"/>
      <c r="P203" s="379"/>
      <c r="Q203" s="363"/>
      <c r="R203" s="1840"/>
      <c r="S203" s="1840"/>
      <c r="T203" s="1840"/>
      <c r="U203" s="1840"/>
      <c r="V203" s="1840"/>
      <c r="W203" s="1840"/>
      <c r="X203" s="1841"/>
      <c r="Y203" s="1841"/>
      <c r="Z203" s="5"/>
    </row>
    <row r="204" spans="1:26" ht="15" hidden="1" customHeight="1" outlineLevel="1" x14ac:dyDescent="0.25">
      <c r="B204" s="92"/>
      <c r="C204" s="1"/>
      <c r="D204" s="1"/>
      <c r="E204" s="1"/>
      <c r="F204" s="1"/>
      <c r="G204" s="1"/>
      <c r="H204" s="1"/>
      <c r="I204" s="1"/>
      <c r="J204" s="1"/>
      <c r="K204" s="1"/>
      <c r="L204" s="1"/>
      <c r="M204" s="1"/>
      <c r="N204" s="1"/>
      <c r="O204" s="1"/>
      <c r="P204" s="379"/>
      <c r="Q204" s="363"/>
      <c r="R204" s="1840"/>
      <c r="S204" s="1840"/>
      <c r="T204" s="1840"/>
      <c r="U204" s="1840"/>
      <c r="V204" s="1840"/>
      <c r="W204" s="1840"/>
      <c r="X204" s="1841"/>
      <c r="Y204" s="1841"/>
      <c r="Z204" s="5"/>
    </row>
    <row r="205" spans="1:26" ht="15" customHeight="1" collapsed="1" thickBot="1" x14ac:dyDescent="0.3">
      <c r="B205" s="281"/>
      <c r="C205" s="107"/>
      <c r="D205" s="107"/>
      <c r="E205" s="107"/>
      <c r="F205" s="107"/>
      <c r="G205" s="107"/>
      <c r="H205" s="107"/>
      <c r="I205" s="107"/>
      <c r="J205" s="107"/>
      <c r="K205" s="107"/>
      <c r="L205" s="107"/>
      <c r="M205" s="107"/>
      <c r="N205" s="107"/>
      <c r="O205" s="107"/>
      <c r="P205" s="364"/>
      <c r="Q205" s="365"/>
      <c r="R205" s="1840"/>
      <c r="S205" s="1840"/>
      <c r="T205" s="1840"/>
      <c r="U205" s="1840"/>
      <c r="V205" s="1840"/>
      <c r="W205" s="1840"/>
      <c r="X205" s="1841"/>
      <c r="Y205" s="1841"/>
      <c r="Z205" s="5"/>
    </row>
    <row r="206" spans="1:26" ht="15" customHeight="1" thickTop="1" x14ac:dyDescent="0.25">
      <c r="A206" s="1"/>
      <c r="B206" s="1"/>
      <c r="C206" s="1"/>
      <c r="D206" s="1"/>
      <c r="E206" s="1"/>
      <c r="F206" s="1"/>
      <c r="G206" s="1"/>
      <c r="H206" s="1"/>
      <c r="I206" s="1"/>
      <c r="J206" s="1"/>
      <c r="K206" s="1"/>
      <c r="L206" s="1"/>
      <c r="M206" s="1"/>
      <c r="N206" s="1"/>
      <c r="O206" s="1"/>
      <c r="P206" s="223"/>
      <c r="Q206" s="223"/>
      <c r="R206" s="1840"/>
      <c r="S206" s="1840"/>
      <c r="T206" s="1840"/>
      <c r="U206" s="1840"/>
      <c r="V206" s="1840"/>
      <c r="W206" s="1840"/>
      <c r="X206" s="1841"/>
      <c r="Y206" s="1841"/>
      <c r="Z206" s="5"/>
    </row>
    <row r="207" spans="1:26" ht="15" customHeight="1" x14ac:dyDescent="0.25">
      <c r="A207" s="1"/>
      <c r="B207" s="1"/>
      <c r="C207" s="1"/>
      <c r="D207" s="1"/>
      <c r="E207" s="1"/>
      <c r="F207" s="1"/>
      <c r="G207" s="1"/>
      <c r="H207" s="1"/>
      <c r="I207" s="1"/>
      <c r="J207" s="1"/>
      <c r="K207" s="1"/>
      <c r="L207" s="1"/>
      <c r="M207" s="1"/>
      <c r="N207" s="1"/>
      <c r="O207" s="1"/>
      <c r="P207" s="223"/>
      <c r="Q207" s="223"/>
      <c r="R207" s="1840"/>
      <c r="S207" s="1840"/>
      <c r="T207" s="1840"/>
      <c r="U207" s="1840"/>
      <c r="V207" s="1840"/>
      <c r="W207" s="1840"/>
      <c r="X207" s="1841"/>
      <c r="Y207" s="1841"/>
      <c r="Z207" s="5"/>
    </row>
    <row r="208" spans="1:26" ht="15" customHeight="1" x14ac:dyDescent="0.25">
      <c r="A208" s="1"/>
      <c r="B208" s="1"/>
      <c r="O208" s="1"/>
      <c r="P208" s="5"/>
      <c r="Q208" s="223"/>
      <c r="R208" s="1840"/>
      <c r="S208" s="1840"/>
      <c r="T208" s="1840"/>
      <c r="U208" s="1840"/>
      <c r="V208" s="1840"/>
      <c r="W208" s="1840"/>
      <c r="X208" s="1841"/>
      <c r="Y208" s="1841"/>
      <c r="Z208" s="5"/>
    </row>
    <row r="209" spans="2:26" ht="15" customHeight="1" x14ac:dyDescent="0.25">
      <c r="B209" s="1"/>
      <c r="C209" s="1"/>
      <c r="Q209" s="223"/>
      <c r="R209" s="1840"/>
      <c r="S209" s="1840"/>
      <c r="T209" s="1840"/>
      <c r="U209" s="1840"/>
      <c r="V209" s="1840"/>
      <c r="W209" s="1840"/>
      <c r="X209" s="1841"/>
      <c r="Y209" s="1841"/>
      <c r="Z209" s="5"/>
    </row>
    <row r="210" spans="2:26" ht="15" customHeight="1" x14ac:dyDescent="0.25">
      <c r="B210" s="1"/>
      <c r="Q210" s="5"/>
      <c r="R210" s="5"/>
      <c r="S210" s="5"/>
      <c r="T210" s="5"/>
      <c r="U210" s="5"/>
      <c r="V210" s="5"/>
      <c r="W210" s="5"/>
      <c r="X210" s="5"/>
      <c r="Y210" s="5"/>
      <c r="Z210" s="5"/>
    </row>
    <row r="211" spans="2:26" x14ac:dyDescent="0.25">
      <c r="B211" s="1"/>
    </row>
    <row r="212" spans="2:26" x14ac:dyDescent="0.25">
      <c r="B212" s="1"/>
      <c r="D212" s="1"/>
    </row>
    <row r="213" spans="2:26" x14ac:dyDescent="0.25">
      <c r="B213" s="1"/>
    </row>
    <row r="214" spans="2:26" x14ac:dyDescent="0.25">
      <c r="B214" s="1"/>
      <c r="N214" s="1"/>
    </row>
    <row r="217" spans="2:26" collapsed="1" x14ac:dyDescent="0.25">
      <c r="D217" s="359" t="s">
        <v>1176</v>
      </c>
    </row>
    <row r="277" hidden="1" x14ac:dyDescent="0.25"/>
  </sheetData>
  <mergeCells count="260">
    <mergeCell ref="D167:E167"/>
    <mergeCell ref="E147:F147"/>
    <mergeCell ref="C119:D119"/>
    <mergeCell ref="C163:D163"/>
    <mergeCell ref="C151:C152"/>
    <mergeCell ref="B1:Q1"/>
    <mergeCell ref="C3:N3"/>
    <mergeCell ref="D12:J12"/>
    <mergeCell ref="D13:J13"/>
    <mergeCell ref="D21:J21"/>
    <mergeCell ref="C7:P7"/>
    <mergeCell ref="M12:N12"/>
    <mergeCell ref="M13:N13"/>
    <mergeCell ref="M14:N14"/>
    <mergeCell ref="M19:N19"/>
    <mergeCell ref="M17:N17"/>
    <mergeCell ref="M16:N16"/>
    <mergeCell ref="M11:N11"/>
    <mergeCell ref="D16:J16"/>
    <mergeCell ref="B9:Q9"/>
    <mergeCell ref="M18:N18"/>
    <mergeCell ref="D18:J18"/>
    <mergeCell ref="D15:J15"/>
    <mergeCell ref="M20:N20"/>
    <mergeCell ref="C203:D203"/>
    <mergeCell ref="E203:G203"/>
    <mergeCell ref="R205:S205"/>
    <mergeCell ref="T205:U205"/>
    <mergeCell ref="V205:W205"/>
    <mergeCell ref="X205:Y205"/>
    <mergeCell ref="R206:S206"/>
    <mergeCell ref="T206:U206"/>
    <mergeCell ref="M84:N84"/>
    <mergeCell ref="I91:N91"/>
    <mergeCell ref="D191:N191"/>
    <mergeCell ref="C191:C192"/>
    <mergeCell ref="O191:O192"/>
    <mergeCell ref="V206:W206"/>
    <mergeCell ref="X206:Y206"/>
    <mergeCell ref="R203:S203"/>
    <mergeCell ref="T203:U203"/>
    <mergeCell ref="V203:W203"/>
    <mergeCell ref="X203:Y203"/>
    <mergeCell ref="R204:S204"/>
    <mergeCell ref="T204:U204"/>
    <mergeCell ref="V204:W204"/>
    <mergeCell ref="X204:Y204"/>
    <mergeCell ref="C92:N92"/>
    <mergeCell ref="R209:S209"/>
    <mergeCell ref="T209:U209"/>
    <mergeCell ref="V209:W209"/>
    <mergeCell ref="X209:Y209"/>
    <mergeCell ref="R207:S207"/>
    <mergeCell ref="T207:U207"/>
    <mergeCell ref="V207:W207"/>
    <mergeCell ref="X207:Y207"/>
    <mergeCell ref="R208:S208"/>
    <mergeCell ref="T208:U208"/>
    <mergeCell ref="V208:W208"/>
    <mergeCell ref="X208:Y208"/>
    <mergeCell ref="R201:S201"/>
    <mergeCell ref="T201:U201"/>
    <mergeCell ref="V201:W201"/>
    <mergeCell ref="X201:Y201"/>
    <mergeCell ref="R202:S202"/>
    <mergeCell ref="T202:U202"/>
    <mergeCell ref="V202:W202"/>
    <mergeCell ref="X202:Y202"/>
    <mergeCell ref="D186:E186"/>
    <mergeCell ref="X199:Y200"/>
    <mergeCell ref="R200:S200"/>
    <mergeCell ref="T200:U200"/>
    <mergeCell ref="V200:W200"/>
    <mergeCell ref="R187:S187"/>
    <mergeCell ref="T187:U187"/>
    <mergeCell ref="V187:W187"/>
    <mergeCell ref="X187:Y187"/>
    <mergeCell ref="D187:E187"/>
    <mergeCell ref="R185:S185"/>
    <mergeCell ref="T185:U185"/>
    <mergeCell ref="V185:W185"/>
    <mergeCell ref="X185:Y185"/>
    <mergeCell ref="R186:S186"/>
    <mergeCell ref="T186:U186"/>
    <mergeCell ref="V186:W186"/>
    <mergeCell ref="X186:Y186"/>
    <mergeCell ref="R183:S183"/>
    <mergeCell ref="T183:U183"/>
    <mergeCell ref="V183:W183"/>
    <mergeCell ref="X183:Y183"/>
    <mergeCell ref="R184:S184"/>
    <mergeCell ref="T184:U184"/>
    <mergeCell ref="V184:W184"/>
    <mergeCell ref="X184:Y184"/>
    <mergeCell ref="R181:S181"/>
    <mergeCell ref="T181:U181"/>
    <mergeCell ref="V181:W181"/>
    <mergeCell ref="X181:Y181"/>
    <mergeCell ref="R182:S182"/>
    <mergeCell ref="T182:U182"/>
    <mergeCell ref="V182:W182"/>
    <mergeCell ref="X182:Y182"/>
    <mergeCell ref="R179:S179"/>
    <mergeCell ref="T179:U179"/>
    <mergeCell ref="V179:W179"/>
    <mergeCell ref="X179:Y179"/>
    <mergeCell ref="R180:S180"/>
    <mergeCell ref="T180:U180"/>
    <mergeCell ref="V180:W180"/>
    <mergeCell ref="X180:Y180"/>
    <mergeCell ref="X177:Y178"/>
    <mergeCell ref="R178:S178"/>
    <mergeCell ref="T178:U178"/>
    <mergeCell ref="V178:W178"/>
    <mergeCell ref="R165:S165"/>
    <mergeCell ref="T165:U165"/>
    <mergeCell ref="V165:W165"/>
    <mergeCell ref="X165:Y165"/>
    <mergeCell ref="R163:S163"/>
    <mergeCell ref="T163:U163"/>
    <mergeCell ref="V163:W163"/>
    <mergeCell ref="X163:Y163"/>
    <mergeCell ref="R164:S164"/>
    <mergeCell ref="T164:U164"/>
    <mergeCell ref="V164:W164"/>
    <mergeCell ref="X164:Y164"/>
    <mergeCell ref="R161:S161"/>
    <mergeCell ref="T161:U161"/>
    <mergeCell ref="V161:W161"/>
    <mergeCell ref="X161:Y161"/>
    <mergeCell ref="R162:S162"/>
    <mergeCell ref="T162:U162"/>
    <mergeCell ref="V162:W162"/>
    <mergeCell ref="X162:Y162"/>
    <mergeCell ref="R159:S159"/>
    <mergeCell ref="T159:U159"/>
    <mergeCell ref="V159:W159"/>
    <mergeCell ref="X159:Y159"/>
    <mergeCell ref="R160:S160"/>
    <mergeCell ref="T160:U160"/>
    <mergeCell ref="V160:W160"/>
    <mergeCell ref="X160:Y160"/>
    <mergeCell ref="R157:S157"/>
    <mergeCell ref="T157:U157"/>
    <mergeCell ref="V157:W157"/>
    <mergeCell ref="X157:Y157"/>
    <mergeCell ref="R158:S158"/>
    <mergeCell ref="T158:U158"/>
    <mergeCell ref="V158:W158"/>
    <mergeCell ref="X158:Y158"/>
    <mergeCell ref="X155:Y156"/>
    <mergeCell ref="R156:S156"/>
    <mergeCell ref="T156:U156"/>
    <mergeCell ref="V156:W156"/>
    <mergeCell ref="AH124:AL124"/>
    <mergeCell ref="AH125:AL125"/>
    <mergeCell ref="AH126:AL126"/>
    <mergeCell ref="AH127:AL127"/>
    <mergeCell ref="AH128:AL128"/>
    <mergeCell ref="C146:D146"/>
    <mergeCell ref="P124:P125"/>
    <mergeCell ref="Q124:Q125"/>
    <mergeCell ref="B143:Q143"/>
    <mergeCell ref="D124:O124"/>
    <mergeCell ref="C124:C125"/>
    <mergeCell ref="E146:F146"/>
    <mergeCell ref="AH120:AL120"/>
    <mergeCell ref="AH121:AL121"/>
    <mergeCell ref="AH122:AL122"/>
    <mergeCell ref="AH123:AL123"/>
    <mergeCell ref="AH112:AL112"/>
    <mergeCell ref="AH113:AL113"/>
    <mergeCell ref="AH114:AL114"/>
    <mergeCell ref="AH115:AL115"/>
    <mergeCell ref="AH116:AL116"/>
    <mergeCell ref="AH117:AL117"/>
    <mergeCell ref="AH118:AL118"/>
    <mergeCell ref="C97:D97"/>
    <mergeCell ref="C98:D98"/>
    <mergeCell ref="C105:D105"/>
    <mergeCell ref="Q103:Q104"/>
    <mergeCell ref="AM96:AM98"/>
    <mergeCell ref="AM103:AM107"/>
    <mergeCell ref="AM108:AM110"/>
    <mergeCell ref="AM111:AM115"/>
    <mergeCell ref="AH110:AL110"/>
    <mergeCell ref="AH111:AL111"/>
    <mergeCell ref="AH102:AL102"/>
    <mergeCell ref="AH103:AL103"/>
    <mergeCell ref="AH104:AL104"/>
    <mergeCell ref="AH105:AL105"/>
    <mergeCell ref="AM99:AM102"/>
    <mergeCell ref="AH97:AL97"/>
    <mergeCell ref="AH98:AL98"/>
    <mergeCell ref="AH99:AL99"/>
    <mergeCell ref="AH100:AL100"/>
    <mergeCell ref="C118:D118"/>
    <mergeCell ref="AH95:AL95"/>
    <mergeCell ref="AH96:AL96"/>
    <mergeCell ref="C106:D106"/>
    <mergeCell ref="M81:N81"/>
    <mergeCell ref="C107:D107"/>
    <mergeCell ref="C109:D109"/>
    <mergeCell ref="M24:N24"/>
    <mergeCell ref="C96:D96"/>
    <mergeCell ref="E94:P94"/>
    <mergeCell ref="D87:J87"/>
    <mergeCell ref="M87:N87"/>
    <mergeCell ref="D79:J79"/>
    <mergeCell ref="D80:J80"/>
    <mergeCell ref="D85:J85"/>
    <mergeCell ref="C115:D115"/>
    <mergeCell ref="C116:D116"/>
    <mergeCell ref="C117:D117"/>
    <mergeCell ref="AH106:AL106"/>
    <mergeCell ref="AH107:AL107"/>
    <mergeCell ref="AH108:AL108"/>
    <mergeCell ref="AH109:AL109"/>
    <mergeCell ref="C103:D104"/>
    <mergeCell ref="E103:P103"/>
    <mergeCell ref="D22:J22"/>
    <mergeCell ref="B26:Q26"/>
    <mergeCell ref="O35:O36"/>
    <mergeCell ref="O55:O56"/>
    <mergeCell ref="C73:O73"/>
    <mergeCell ref="M79:N79"/>
    <mergeCell ref="M80:N80"/>
    <mergeCell ref="M85:N85"/>
    <mergeCell ref="E78:F78"/>
    <mergeCell ref="M78:N78"/>
    <mergeCell ref="K78:L78"/>
    <mergeCell ref="B75:Q75"/>
    <mergeCell ref="M23:N23"/>
    <mergeCell ref="M82:N82"/>
    <mergeCell ref="M83:N83"/>
    <mergeCell ref="C79:C80"/>
    <mergeCell ref="C183:D183"/>
    <mergeCell ref="E183:G183"/>
    <mergeCell ref="E163:G163"/>
    <mergeCell ref="C122:P122"/>
    <mergeCell ref="D166:E166"/>
    <mergeCell ref="C171:C172"/>
    <mergeCell ref="D171:N171"/>
    <mergeCell ref="C108:D108"/>
    <mergeCell ref="C35:C36"/>
    <mergeCell ref="C47:D47"/>
    <mergeCell ref="C67:D67"/>
    <mergeCell ref="C55:C56"/>
    <mergeCell ref="E47:G47"/>
    <mergeCell ref="E67:G67"/>
    <mergeCell ref="D35:N35"/>
    <mergeCell ref="D55:N55"/>
    <mergeCell ref="O171:O172"/>
    <mergeCell ref="O151:O152"/>
    <mergeCell ref="D151:N151"/>
    <mergeCell ref="C110:D110"/>
    <mergeCell ref="C111:D111"/>
    <mergeCell ref="C112:D112"/>
    <mergeCell ref="C113:D113"/>
    <mergeCell ref="C114:D114"/>
  </mergeCells>
  <conditionalFormatting sqref="D126:O141">
    <cfRule type="expression" dxfId="7" priority="2">
      <formula>#REF!="LLI"</formula>
    </cfRule>
  </conditionalFormatting>
  <dataValidations count="1">
    <dataValidation showInputMessage="1" showErrorMessage="1" sqref="E78:F78"/>
  </dataValidations>
  <hyperlinks>
    <hyperlink ref="I91" location="'Apoio polinização'!B87" display="Em caso de dúvidas sobre as alternativas de uso de solo listadas, clique aqui. "/>
  </hyperlinks>
  <pageMargins left="0.511811024" right="0.511811024" top="0.78740157499999996" bottom="0.78740157499999996" header="0.31496062000000002" footer="0.31496062000000002"/>
  <pageSetup paperSize="9" orientation="portrait" verticalDpi="300" r:id="rId1"/>
  <drawing r:id="rId2"/>
  <legacyDrawing r:id="rId3"/>
  <extLst>
    <ext xmlns:x14="http://schemas.microsoft.com/office/spreadsheetml/2009/9/main" uri="{CCE6A557-97BC-4b89-ADB6-D9C93CAAB3DF}">
      <x14:dataValidations xmlns:xm="http://schemas.microsoft.com/office/excel/2006/main" count="4">
        <x14:dataValidation type="list" allowBlank="1" showInputMessage="1" showErrorMessage="1">
          <x14:formula1>
            <xm:f>'Apoio Regulação de Polinização'!$B$5:$B$61</xm:f>
          </x14:formula1>
          <xm:sqref>K79 K12</xm:sqref>
        </x14:dataValidation>
        <x14:dataValidation type="list" allowBlank="1" showInputMessage="1" showErrorMessage="1">
          <x14:formula1>
            <xm:f>'Apoio Regulação de Polinização'!$AD$8:$AD$70</xm:f>
          </x14:formula1>
          <xm:sqref>C105:C119</xm:sqref>
        </x14:dataValidation>
        <x14:dataValidation type="list" showInputMessage="1" showErrorMessage="1">
          <x14:formula1>
            <xm:f>'Apoio Regulação de Polinização'!$B$130:$B$146</xm:f>
          </x14:formula1>
          <xm:sqref>E96:P96</xm:sqref>
        </x14:dataValidation>
        <x14:dataValidation type="list" allowBlank="1" showInputMessage="1" showErrorMessage="1">
          <x14:formula1>
            <xm:f>'Apoio Regulação de Polinização'!$B$125:$B$127</xm:f>
          </x14:formula1>
          <xm:sqref>K78:L78</xm:sqref>
        </x14:dataValidation>
      </x14:dataValidations>
    </ex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F6F6E"/>
  </sheetPr>
  <dimension ref="A1:AJ152"/>
  <sheetViews>
    <sheetView showGridLines="0" zoomScaleNormal="100" zoomScalePageLayoutView="90" workbookViewId="0">
      <selection activeCell="A122" sqref="A122:XFD152"/>
    </sheetView>
  </sheetViews>
  <sheetFormatPr defaultColWidth="8.85546875" defaultRowHeight="15" outlineLevelCol="1" x14ac:dyDescent="0.25"/>
  <cols>
    <col min="1" max="1" width="4.85546875" style="12" customWidth="1" outlineLevel="1"/>
    <col min="2" max="2" width="20.140625" style="12" customWidth="1" outlineLevel="1"/>
    <col min="3" max="3" width="26.5703125" style="12" customWidth="1" outlineLevel="1"/>
    <col min="4" max="4" width="16.28515625" style="12" customWidth="1" outlineLevel="1"/>
    <col min="5" max="5" width="13.28515625" style="12" customWidth="1" outlineLevel="1"/>
    <col min="6" max="6" width="12.42578125" style="12" customWidth="1" outlineLevel="1"/>
    <col min="7" max="7" width="15.140625" style="12" customWidth="1" outlineLevel="1"/>
    <col min="8" max="8" width="10.42578125" style="12" customWidth="1" outlineLevel="1"/>
    <col min="9" max="9" width="17.42578125" style="12" customWidth="1" outlineLevel="1"/>
    <col min="10" max="10" width="10.85546875" style="12" customWidth="1" outlineLevel="1"/>
    <col min="11" max="11" width="9.140625" style="12" customWidth="1"/>
    <col min="12" max="12" width="8.85546875" style="12"/>
    <col min="13" max="13" width="9.140625" style="12" customWidth="1"/>
    <col min="14" max="14" width="30.140625" style="12" customWidth="1" outlineLevel="1"/>
    <col min="15" max="27" width="6.140625" style="12" customWidth="1" outlineLevel="1"/>
    <col min="28" max="29" width="8.85546875" style="12"/>
    <col min="30" max="30" width="28.42578125" style="12" customWidth="1" outlineLevel="1"/>
    <col min="31" max="31" width="17.140625" style="196" customWidth="1" outlineLevel="1"/>
    <col min="32" max="33" width="8.7109375" style="12" customWidth="1" outlineLevel="1"/>
    <col min="34" max="34" width="8.85546875" style="12" customWidth="1" outlineLevel="1"/>
    <col min="35" max="35" width="8.42578125" style="12" customWidth="1"/>
    <col min="36" max="36" width="8.28515625" style="12" customWidth="1"/>
    <col min="37" max="37" width="9.42578125" style="12" customWidth="1"/>
    <col min="38" max="38" width="10.42578125" style="12" customWidth="1"/>
    <col min="39" max="16384" width="8.85546875" style="12"/>
  </cols>
  <sheetData>
    <row r="1" spans="1:36" x14ac:dyDescent="0.25">
      <c r="A1" s="1732" t="s">
        <v>1396</v>
      </c>
      <c r="B1" s="1732"/>
      <c r="C1" s="1732"/>
      <c r="D1" s="1732"/>
      <c r="E1" s="1732"/>
      <c r="F1" s="1732"/>
      <c r="G1" s="1732"/>
      <c r="H1" s="1732"/>
      <c r="I1" s="1732"/>
      <c r="J1" s="1732"/>
      <c r="K1" s="1732"/>
      <c r="L1" s="1732"/>
      <c r="M1" s="1732"/>
    </row>
    <row r="3" spans="1:36" x14ac:dyDescent="0.25">
      <c r="B3" s="1143" t="s">
        <v>793</v>
      </c>
    </row>
    <row r="4" spans="1:36" ht="19.5" thickBot="1" x14ac:dyDescent="0.4">
      <c r="B4" s="1886" t="s">
        <v>794</v>
      </c>
      <c r="C4" s="1886"/>
      <c r="D4" s="1145" t="s">
        <v>0</v>
      </c>
      <c r="E4" s="1145" t="s">
        <v>807</v>
      </c>
      <c r="F4" s="1145" t="s">
        <v>795</v>
      </c>
      <c r="G4" s="1145" t="s">
        <v>796</v>
      </c>
      <c r="H4" s="1145" t="s">
        <v>807</v>
      </c>
      <c r="I4" s="1145" t="s">
        <v>797</v>
      </c>
      <c r="J4" s="1145" t="s">
        <v>807</v>
      </c>
      <c r="K4" s="13"/>
      <c r="N4" s="1159" t="s">
        <v>1492</v>
      </c>
      <c r="O4" s="1159"/>
      <c r="P4" s="1159"/>
      <c r="Q4" s="1159"/>
      <c r="R4" s="1159"/>
      <c r="S4" s="1159"/>
      <c r="T4" s="1159"/>
      <c r="U4" s="1159"/>
      <c r="V4" s="1159"/>
      <c r="W4" s="1159"/>
      <c r="X4" s="1159"/>
      <c r="Y4" s="1159"/>
      <c r="Z4" s="1159"/>
      <c r="AA4" s="1159"/>
      <c r="AC4" s="1142"/>
      <c r="AD4" s="1160" t="s">
        <v>1491</v>
      </c>
      <c r="AE4" s="1160"/>
      <c r="AF4" s="1160"/>
      <c r="AG4" s="1160"/>
      <c r="AH4" s="1160"/>
    </row>
    <row r="5" spans="1:36" ht="15.75" thickTop="1" x14ac:dyDescent="0.25">
      <c r="B5" s="1155" t="s">
        <v>798</v>
      </c>
      <c r="C5" s="1156" t="s">
        <v>723</v>
      </c>
      <c r="D5" s="1157">
        <f>(70%+80%)/2</f>
        <v>0.75</v>
      </c>
      <c r="E5" s="1156">
        <v>1</v>
      </c>
      <c r="F5" s="1156">
        <v>7</v>
      </c>
      <c r="G5" s="1158">
        <f>F5*50000</f>
        <v>350000</v>
      </c>
      <c r="H5" s="1156">
        <v>5</v>
      </c>
      <c r="I5" s="1156" t="s">
        <v>723</v>
      </c>
      <c r="J5" s="1156" t="s">
        <v>723</v>
      </c>
      <c r="K5" s="196"/>
      <c r="M5" s="1121"/>
      <c r="N5" s="13"/>
      <c r="O5" s="13"/>
      <c r="P5" s="13"/>
      <c r="Q5" s="13"/>
      <c r="R5" s="13"/>
      <c r="S5" s="13"/>
      <c r="T5" s="13"/>
      <c r="U5" s="13"/>
      <c r="V5" s="13"/>
      <c r="W5" s="13"/>
      <c r="X5" s="13"/>
      <c r="Y5" s="13"/>
      <c r="Z5" s="13"/>
      <c r="AA5" s="13"/>
      <c r="AC5" s="1142"/>
    </row>
    <row r="6" spans="1:36" x14ac:dyDescent="0.25">
      <c r="B6" s="575" t="s">
        <v>799</v>
      </c>
      <c r="C6" s="1122" t="s">
        <v>800</v>
      </c>
      <c r="D6" s="1119">
        <f t="shared" ref="D6:D7" si="0">(70%+80%)/2</f>
        <v>0.75</v>
      </c>
      <c r="E6" s="758">
        <v>1</v>
      </c>
      <c r="F6" s="758">
        <v>5</v>
      </c>
      <c r="G6" s="1120">
        <f>F6*50000</f>
        <v>250000</v>
      </c>
      <c r="H6" s="758">
        <v>5</v>
      </c>
      <c r="I6" s="758" t="s">
        <v>723</v>
      </c>
      <c r="J6" s="758" t="s">
        <v>723</v>
      </c>
      <c r="K6" s="196"/>
      <c r="M6" s="1121"/>
      <c r="N6" s="13"/>
      <c r="O6" s="13"/>
      <c r="P6" s="13"/>
      <c r="Q6" s="13"/>
      <c r="R6" s="13"/>
      <c r="S6" s="13"/>
      <c r="T6" s="13"/>
      <c r="U6" s="13"/>
      <c r="V6" s="13"/>
      <c r="W6" s="13"/>
      <c r="X6" s="13"/>
      <c r="Y6" s="13"/>
      <c r="Z6" s="13"/>
      <c r="AA6" s="13"/>
      <c r="AB6" s="1132"/>
      <c r="AC6" s="1132"/>
      <c r="AD6" s="12" t="s">
        <v>801</v>
      </c>
    </row>
    <row r="7" spans="1:36" ht="17.25" thickBot="1" x14ac:dyDescent="0.35">
      <c r="B7" s="575" t="s">
        <v>722</v>
      </c>
      <c r="C7" s="1122" t="s">
        <v>802</v>
      </c>
      <c r="D7" s="1119">
        <f t="shared" si="0"/>
        <v>0.75</v>
      </c>
      <c r="E7" s="758">
        <v>1</v>
      </c>
      <c r="F7" s="758">
        <v>2.5</v>
      </c>
      <c r="G7" s="1120">
        <f>F7*50000</f>
        <v>125000</v>
      </c>
      <c r="H7" s="758">
        <v>7</v>
      </c>
      <c r="I7" s="758" t="s">
        <v>723</v>
      </c>
      <c r="J7" s="758" t="s">
        <v>723</v>
      </c>
      <c r="K7" s="196"/>
      <c r="M7" s="1121"/>
      <c r="AB7" s="1132"/>
      <c r="AC7" s="1132"/>
      <c r="AD7" s="1145" t="s">
        <v>805</v>
      </c>
      <c r="AE7" s="1145" t="s">
        <v>806</v>
      </c>
      <c r="AF7" s="1145" t="s">
        <v>1489</v>
      </c>
      <c r="AG7" s="1145" t="s">
        <v>1490</v>
      </c>
      <c r="AH7" s="1145" t="s">
        <v>807</v>
      </c>
      <c r="AI7" s="1134"/>
    </row>
    <row r="8" spans="1:36" ht="15.75" thickTop="1" x14ac:dyDescent="0.25">
      <c r="B8" s="575" t="s">
        <v>803</v>
      </c>
      <c r="C8" s="1122" t="s">
        <v>804</v>
      </c>
      <c r="D8" s="1119">
        <v>0.55000000000000004</v>
      </c>
      <c r="E8" s="758">
        <v>7</v>
      </c>
      <c r="F8" s="758">
        <v>4</v>
      </c>
      <c r="G8" s="1120">
        <f t="shared" ref="G8:G54" si="1">F8*50000</f>
        <v>200000</v>
      </c>
      <c r="H8" s="758">
        <v>5</v>
      </c>
      <c r="I8" s="758" t="s">
        <v>723</v>
      </c>
      <c r="J8" s="758" t="s">
        <v>723</v>
      </c>
      <c r="K8" s="196"/>
      <c r="M8" s="1121"/>
      <c r="O8" s="1161" t="s">
        <v>1493</v>
      </c>
      <c r="P8" s="1162"/>
      <c r="Q8" s="1162"/>
      <c r="R8" s="1162"/>
      <c r="S8" s="1162"/>
      <c r="T8" s="1162"/>
      <c r="U8" s="1162"/>
      <c r="V8" s="1162"/>
      <c r="W8" s="1162"/>
      <c r="X8" s="1162"/>
      <c r="Y8" s="1162"/>
      <c r="Z8" s="1162"/>
      <c r="AA8" s="1898" t="s">
        <v>1494</v>
      </c>
      <c r="AB8" s="1132"/>
      <c r="AC8" s="1132"/>
      <c r="AD8" s="1188"/>
      <c r="AE8" s="1189"/>
      <c r="AF8" s="1190"/>
      <c r="AG8" s="1191"/>
      <c r="AH8" s="1189"/>
      <c r="AI8" s="1134"/>
    </row>
    <row r="9" spans="1:36" x14ac:dyDescent="0.25">
      <c r="B9" s="575" t="s">
        <v>808</v>
      </c>
      <c r="C9" s="1122" t="s">
        <v>809</v>
      </c>
      <c r="D9" s="1119">
        <v>0.2</v>
      </c>
      <c r="E9" s="758" t="s">
        <v>810</v>
      </c>
      <c r="F9" s="758">
        <v>4</v>
      </c>
      <c r="G9" s="1120">
        <f t="shared" si="1"/>
        <v>200000</v>
      </c>
      <c r="H9" s="758">
        <v>7</v>
      </c>
      <c r="I9" s="758" t="s">
        <v>723</v>
      </c>
      <c r="J9" s="758" t="s">
        <v>723</v>
      </c>
      <c r="K9" s="196"/>
      <c r="N9" s="409"/>
      <c r="O9" s="1183">
        <v>1</v>
      </c>
      <c r="P9" s="1183">
        <v>2</v>
      </c>
      <c r="Q9" s="1183">
        <v>3</v>
      </c>
      <c r="R9" s="1183">
        <v>4</v>
      </c>
      <c r="S9" s="1183">
        <v>5</v>
      </c>
      <c r="T9" s="1183">
        <v>6</v>
      </c>
      <c r="U9" s="1183">
        <v>7</v>
      </c>
      <c r="V9" s="1183">
        <v>8</v>
      </c>
      <c r="W9" s="1183">
        <v>9</v>
      </c>
      <c r="X9" s="1183">
        <v>10</v>
      </c>
      <c r="Y9" s="1183">
        <v>11</v>
      </c>
      <c r="Z9" s="1183">
        <v>12</v>
      </c>
      <c r="AA9" s="1899"/>
      <c r="AB9" s="1132"/>
      <c r="AC9" s="1132"/>
      <c r="AD9" s="1192" t="s">
        <v>811</v>
      </c>
      <c r="AE9" s="1193" t="s">
        <v>812</v>
      </c>
      <c r="AF9" s="1194">
        <v>2.1</v>
      </c>
      <c r="AG9" s="1195">
        <v>0.5</v>
      </c>
      <c r="AH9" s="1193">
        <v>1</v>
      </c>
      <c r="AI9" s="1134"/>
      <c r="AJ9" s="1134"/>
    </row>
    <row r="10" spans="1:36" x14ac:dyDescent="0.25">
      <c r="B10" s="575" t="s">
        <v>727</v>
      </c>
      <c r="C10" s="1123" t="s">
        <v>813</v>
      </c>
      <c r="D10" s="1119">
        <f>(15%+50%)/2</f>
        <v>0.32500000000000001</v>
      </c>
      <c r="E10" s="758">
        <v>4</v>
      </c>
      <c r="F10" s="758">
        <v>3.5</v>
      </c>
      <c r="G10" s="1120">
        <f t="shared" si="1"/>
        <v>175000</v>
      </c>
      <c r="H10" s="758" t="s">
        <v>723</v>
      </c>
      <c r="I10" s="758" t="s">
        <v>723</v>
      </c>
      <c r="J10" s="758" t="s">
        <v>723</v>
      </c>
      <c r="K10" s="196"/>
      <c r="N10" s="1164" t="s">
        <v>814</v>
      </c>
      <c r="O10" s="1180" t="e">
        <f>IF('Regulação de polinização'!E96="Água",0,VLOOKUP('Regulação de polinização'!E96,'Apoio Regulação de Polinização'!$J$90:$K$120,2,FALSE))</f>
        <v>#N/A</v>
      </c>
      <c r="P10" s="1180" t="e">
        <f>IF('Regulação de polinização'!F96="Água",0,VLOOKUP('Regulação de polinização'!F96,'Apoio Regulação de Polinização'!$J$90:$K$120,2,FALSE))</f>
        <v>#N/A</v>
      </c>
      <c r="Q10" s="1180" t="e">
        <f>IF('Regulação de polinização'!G96="Água",0,VLOOKUP('Regulação de polinização'!G96,'Apoio Regulação de Polinização'!$J$90:$K$120,2,FALSE))</f>
        <v>#N/A</v>
      </c>
      <c r="R10" s="1180" t="e">
        <f>IF('Regulação de polinização'!H96="Água",0,VLOOKUP('Regulação de polinização'!H96,'Apoio Regulação de Polinização'!$J$90:$K$120,2,FALSE))</f>
        <v>#N/A</v>
      </c>
      <c r="S10" s="1180" t="e">
        <f>IF('Regulação de polinização'!I96="Água",0,VLOOKUP('Regulação de polinização'!I96,'Apoio Regulação de Polinização'!$J$90:$K$120,2,FALSE))</f>
        <v>#N/A</v>
      </c>
      <c r="T10" s="1180" t="e">
        <f>IF('Regulação de polinização'!J96="Água",0,VLOOKUP('Regulação de polinização'!J96,'Apoio Regulação de Polinização'!$J$90:$K$120,2,FALSE))</f>
        <v>#N/A</v>
      </c>
      <c r="U10" s="1180" t="e">
        <f>IF('Regulação de polinização'!K96="Água",0,VLOOKUP('Regulação de polinização'!K96,'Apoio Regulação de Polinização'!$J$90:$K$120,2,FALSE))</f>
        <v>#N/A</v>
      </c>
      <c r="V10" s="1180" t="e">
        <f>IF('Regulação de polinização'!L96="Água",0,VLOOKUP('Regulação de polinização'!L96,'Apoio Regulação de Polinização'!$J$90:$K$120,2,FALSE))</f>
        <v>#N/A</v>
      </c>
      <c r="W10" s="1180" t="e">
        <f>IF('Regulação de polinização'!M96="Água",0,VLOOKUP('Regulação de polinização'!M96,'Apoio Regulação de Polinização'!$J$90:$K$120,2,FALSE))</f>
        <v>#N/A</v>
      </c>
      <c r="X10" s="1180" t="e">
        <f>IF('Regulação de polinização'!N96="Água",0,VLOOKUP('Regulação de polinização'!N96,'Apoio Regulação de Polinização'!$J$90:$K$120,2,FALSE))</f>
        <v>#N/A</v>
      </c>
      <c r="Y10" s="1180" t="e">
        <f>IF('Regulação de polinização'!O96="Água",0,VLOOKUP('Regulação de polinização'!O96,'Apoio Regulação de Polinização'!$J$90:$K$120,2,FALSE))</f>
        <v>#N/A</v>
      </c>
      <c r="Z10" s="1180" t="e">
        <f>IF('Regulação de polinização'!P96="Água",0,VLOOKUP('Regulação de polinização'!P96,'Apoio Regulação de Polinização'!$J$90:$K$120,2,FALSE))</f>
        <v>#N/A</v>
      </c>
      <c r="AA10" s="1899"/>
      <c r="AB10" s="1132"/>
      <c r="AC10" s="1132"/>
      <c r="AD10" s="1192" t="s">
        <v>815</v>
      </c>
      <c r="AE10" s="1193" t="s">
        <v>812</v>
      </c>
      <c r="AF10" s="1196">
        <v>3</v>
      </c>
      <c r="AG10" s="1195">
        <v>1.8</v>
      </c>
      <c r="AH10" s="1193">
        <v>1</v>
      </c>
      <c r="AI10" s="1134"/>
      <c r="AJ10" s="1134"/>
    </row>
    <row r="11" spans="1:36" x14ac:dyDescent="0.25">
      <c r="B11" s="575" t="s">
        <v>816</v>
      </c>
      <c r="C11" s="1123" t="s">
        <v>817</v>
      </c>
      <c r="D11" s="1119">
        <v>0.26800000000000002</v>
      </c>
      <c r="E11" s="758">
        <v>2</v>
      </c>
      <c r="F11" s="758">
        <v>8</v>
      </c>
      <c r="G11" s="1120">
        <f t="shared" si="1"/>
        <v>400000</v>
      </c>
      <c r="H11" s="758">
        <v>5</v>
      </c>
      <c r="I11" s="1124">
        <v>1.3859999999999999</v>
      </c>
      <c r="J11" s="758">
        <v>2</v>
      </c>
      <c r="K11" s="196"/>
      <c r="N11" s="1163" t="s">
        <v>1495</v>
      </c>
      <c r="O11" s="1181"/>
      <c r="P11" s="1182" t="e">
        <f t="shared" ref="P11:Z11" si="2">($O$10-P10)/0.1</f>
        <v>#N/A</v>
      </c>
      <c r="Q11" s="1182" t="e">
        <f t="shared" si="2"/>
        <v>#N/A</v>
      </c>
      <c r="R11" s="1182" t="e">
        <f t="shared" si="2"/>
        <v>#N/A</v>
      </c>
      <c r="S11" s="1182" t="e">
        <f t="shared" si="2"/>
        <v>#N/A</v>
      </c>
      <c r="T11" s="1182" t="e">
        <f t="shared" si="2"/>
        <v>#N/A</v>
      </c>
      <c r="U11" s="1182" t="e">
        <f t="shared" si="2"/>
        <v>#N/A</v>
      </c>
      <c r="V11" s="1182" t="e">
        <f t="shared" si="2"/>
        <v>#N/A</v>
      </c>
      <c r="W11" s="1182" t="e">
        <f t="shared" si="2"/>
        <v>#N/A</v>
      </c>
      <c r="X11" s="1182" t="e">
        <f t="shared" si="2"/>
        <v>#N/A</v>
      </c>
      <c r="Y11" s="1182" t="e">
        <f t="shared" si="2"/>
        <v>#N/A</v>
      </c>
      <c r="Z11" s="1182" t="e">
        <f t="shared" si="2"/>
        <v>#N/A</v>
      </c>
      <c r="AA11" s="1900"/>
      <c r="AB11" s="1132"/>
      <c r="AC11" s="1132"/>
      <c r="AD11" s="1192" t="s">
        <v>818</v>
      </c>
      <c r="AE11" s="1193" t="s">
        <v>812</v>
      </c>
      <c r="AF11" s="1194">
        <v>3.1</v>
      </c>
      <c r="AG11" s="1195">
        <v>2</v>
      </c>
      <c r="AH11" s="1193">
        <v>1</v>
      </c>
      <c r="AI11" s="1134"/>
      <c r="AJ11" s="1134"/>
    </row>
    <row r="12" spans="1:36" ht="16.5" x14ac:dyDescent="0.25">
      <c r="B12" s="575" t="s">
        <v>819</v>
      </c>
      <c r="C12" s="1122" t="s">
        <v>820</v>
      </c>
      <c r="D12" s="1119">
        <v>0.7</v>
      </c>
      <c r="E12" s="758">
        <v>7</v>
      </c>
      <c r="F12" s="758">
        <v>5</v>
      </c>
      <c r="G12" s="1120">
        <f t="shared" si="1"/>
        <v>250000</v>
      </c>
      <c r="H12" s="758">
        <v>5</v>
      </c>
      <c r="I12" s="758" t="s">
        <v>723</v>
      </c>
      <c r="J12" s="758" t="s">
        <v>723</v>
      </c>
      <c r="K12" s="196"/>
      <c r="N12" s="1168" t="s">
        <v>821</v>
      </c>
      <c r="O12" s="1901" t="s">
        <v>1502</v>
      </c>
      <c r="P12" s="1902"/>
      <c r="Q12" s="1902"/>
      <c r="R12" s="1902"/>
      <c r="S12" s="1902"/>
      <c r="T12" s="1902"/>
      <c r="U12" s="1902"/>
      <c r="V12" s="1902"/>
      <c r="W12" s="1902"/>
      <c r="X12" s="1902"/>
      <c r="Y12" s="1902"/>
      <c r="Z12" s="1903"/>
      <c r="AA12" s="1175" t="s">
        <v>822</v>
      </c>
      <c r="AB12" s="1132"/>
      <c r="AC12" s="1132"/>
      <c r="AD12" s="1192" t="s">
        <v>823</v>
      </c>
      <c r="AE12" s="1193" t="s">
        <v>812</v>
      </c>
      <c r="AF12" s="1194">
        <v>2.2000000000000002</v>
      </c>
      <c r="AG12" s="1195">
        <v>0.6</v>
      </c>
      <c r="AH12" s="1193">
        <v>1</v>
      </c>
      <c r="AI12" s="1134"/>
      <c r="AJ12" s="1134"/>
    </row>
    <row r="13" spans="1:36" x14ac:dyDescent="0.25">
      <c r="B13" s="575" t="s">
        <v>824</v>
      </c>
      <c r="C13" s="1122" t="s">
        <v>825</v>
      </c>
      <c r="D13" s="1119">
        <v>0.85</v>
      </c>
      <c r="E13" s="758" t="s">
        <v>723</v>
      </c>
      <c r="F13" s="758">
        <v>8</v>
      </c>
      <c r="G13" s="1120">
        <f t="shared" si="1"/>
        <v>400000</v>
      </c>
      <c r="H13" s="758">
        <v>5</v>
      </c>
      <c r="I13" s="758" t="s">
        <v>723</v>
      </c>
      <c r="J13" s="758" t="s">
        <v>723</v>
      </c>
      <c r="K13" s="196"/>
      <c r="N13" s="1169">
        <f>'Regulação de polinização'!C105</f>
        <v>0</v>
      </c>
      <c r="O13" s="1176">
        <f>'Regulação de polinização'!E105</f>
        <v>0</v>
      </c>
      <c r="P13" s="1176" t="e">
        <f>IF(P$10=0,0,IF('Regulação de polinização'!F105&gt;0,'Regulação de polinização'!F105,TRUNC(IF(P$11=0,$O13,IF(P$11&lt;0,$O13*(1+(-P$11*0.232)),$O13/(1+(P$11*0.232)))))))</f>
        <v>#N/A</v>
      </c>
      <c r="Q13" s="1176" t="e">
        <f>IF(Q$10=0,0,IF('Regulação de polinização'!G105&gt;0,'Regulação de polinização'!G105,TRUNC(IF(Q$11=0,$O13,IF(Q$11&lt;0,$O13*(1+(-Q$11*0.232)),$O13/(1+(Q$11*0.232)))))))</f>
        <v>#N/A</v>
      </c>
      <c r="R13" s="1176" t="e">
        <f>IF(R$10=0,0,IF('Regulação de polinização'!H105&gt;0,'Regulação de polinização'!H105,TRUNC(IF(R$11=0,$O13,IF(R$11&lt;0,$O13*(1+(-R$11*0.232)),$O13/(1+(R$11*0.232)))))))</f>
        <v>#N/A</v>
      </c>
      <c r="S13" s="1176" t="e">
        <f>IF(S$10=0,0,IF('Regulação de polinização'!I105&gt;0,'Regulação de polinização'!I105,TRUNC(IF(S$11=0,$O13,IF(S$11&lt;0,$O13*(1+(-S$11*0.232)),$O13/(1+(S$11*0.232)))))))</f>
        <v>#N/A</v>
      </c>
      <c r="T13" s="1176" t="e">
        <f>IF(T$10=0,0,IF('Regulação de polinização'!J105&gt;0,'Regulação de polinização'!J105,TRUNC(IF(T$11=0,$O13,IF(T$11&lt;0,$O13*(1+(-T$11*0.232)),$O13/(1+(T$11*0.232)))))))</f>
        <v>#N/A</v>
      </c>
      <c r="U13" s="1176" t="e">
        <f>IF(U$10=0,0,IF('Regulação de polinização'!K105&gt;0,'Regulação de polinização'!K105,TRUNC(IF(U$11=0,$O13,IF(U$11&lt;0,$O13*(1+(-U$11*0.232)),$O13/(1+(U$11*0.232)))))))</f>
        <v>#N/A</v>
      </c>
      <c r="V13" s="1176" t="e">
        <f>IF(V$10=0,0,IF('Regulação de polinização'!L105&gt;0,'Regulação de polinização'!L105,TRUNC(IF(V$11=0,$O13,IF(V$11&lt;0,$O13*(1+(-V$11*0.232)),$O13/(1+(V$11*0.232)))))))</f>
        <v>#N/A</v>
      </c>
      <c r="W13" s="1176" t="e">
        <f>IF(W$10=0,0,IF('Regulação de polinização'!M105&gt;0,'Regulação de polinização'!M105,TRUNC(IF(W$11=0,$O13,IF(W$11&lt;0,$O13*(1+(-W$11*0.232)),$O13/(1+(W$11*0.232)))))))</f>
        <v>#N/A</v>
      </c>
      <c r="X13" s="1176" t="e">
        <f>IF(X$10=0,0,IF('Regulação de polinização'!N105&gt;0,'Regulação de polinização'!N105,TRUNC(IF(X$11=0,$O13,IF(X$11&lt;0,$O13*(1+(-X$11*0.232)),$O13/(1+(X$11*0.232)))))))</f>
        <v>#N/A</v>
      </c>
      <c r="Y13" s="1176" t="e">
        <f>IF(Y$10=0,0,IF('Regulação de polinização'!O105&gt;0,'Regulação de polinização'!O105,TRUNC(IF(Y$11=0,$O13,IF(Y$11&lt;0,$O13*(1+(-Y$11*0.232)),$O13/(1+(Y$11*0.232)))))))</f>
        <v>#N/A</v>
      </c>
      <c r="Z13" s="1176" t="e">
        <f>IF(Z$10=0,0,IF('Regulação de polinização'!P105&gt;0,'Regulação de polinização'!P105,TRUNC(IF(Z$11=0,$O13,IF(Z$11&lt;0,$O13*(1+(-Z$11*0.232)),$O13/(1+(Z$11*0.232)))))))</f>
        <v>#N/A</v>
      </c>
      <c r="AA13" s="1177">
        <f>IF('Regulação de polinização'!Q105&gt;0,'Regulação de polinização'!Q105,VLOOKUP(N13,'Apoio Regulação de Polinização'!$AD$9:$AH$70,4,FALSE))</f>
        <v>5</v>
      </c>
      <c r="AB13" s="1132"/>
      <c r="AC13" s="1132"/>
      <c r="AD13" s="1192" t="s">
        <v>826</v>
      </c>
      <c r="AE13" s="1193" t="s">
        <v>812</v>
      </c>
      <c r="AF13" s="1194">
        <v>2.8</v>
      </c>
      <c r="AG13" s="1195">
        <v>1.3</v>
      </c>
      <c r="AH13" s="1193">
        <v>1</v>
      </c>
      <c r="AI13" s="1134"/>
      <c r="AJ13" s="1134"/>
    </row>
    <row r="14" spans="1:36" ht="15.75" customHeight="1" x14ac:dyDescent="0.25">
      <c r="B14" s="575" t="s">
        <v>827</v>
      </c>
      <c r="C14" s="1122" t="s">
        <v>828</v>
      </c>
      <c r="D14" s="758" t="s">
        <v>723</v>
      </c>
      <c r="E14" s="758" t="s">
        <v>723</v>
      </c>
      <c r="F14" s="758">
        <v>7</v>
      </c>
      <c r="G14" s="1120">
        <f t="shared" si="1"/>
        <v>350000</v>
      </c>
      <c r="H14" s="758">
        <v>5</v>
      </c>
      <c r="I14" s="758" t="s">
        <v>723</v>
      </c>
      <c r="J14" s="758" t="s">
        <v>723</v>
      </c>
      <c r="K14" s="196"/>
      <c r="N14" s="1169">
        <f>'Regulação de polinização'!C106</f>
        <v>0</v>
      </c>
      <c r="O14" s="1176">
        <f>'Regulação de polinização'!E106</f>
        <v>0</v>
      </c>
      <c r="P14" s="1176" t="e">
        <f>IF(P$10=0,0,IF('Regulação de polinização'!F106&gt;0,'Regulação de polinização'!F106,TRUNC(IF(P$11=0,$O14,IF(P$11&lt;0,$O14*(1+(-P$11*0.232)),$O14/(1+(P$11*0.232)))))))</f>
        <v>#N/A</v>
      </c>
      <c r="Q14" s="1176" t="e">
        <f>IF(Q$10=0,0,IF('Regulação de polinização'!G106&gt;0,'Regulação de polinização'!G106,TRUNC(IF(Q$11=0,$O14,IF(Q$11&lt;0,$O14*(1+(-Q$11*0.232)),$O14/(1+(Q$11*0.232)))))))</f>
        <v>#N/A</v>
      </c>
      <c r="R14" s="1176" t="e">
        <f>IF(R$10=0,0,IF('Regulação de polinização'!H106&gt;0,'Regulação de polinização'!H106,TRUNC(IF(R$11=0,$O14,IF(R$11&lt;0,$O14*(1+(-R$11*0.232)),$O14/(1+(R$11*0.232)))))))</f>
        <v>#N/A</v>
      </c>
      <c r="S14" s="1176" t="e">
        <f>IF(S$10=0,0,IF('Regulação de polinização'!I106&gt;0,'Regulação de polinização'!I106,TRUNC(IF(S$11=0,$O14,IF(S$11&lt;0,$O14*(1+(-S$11*0.232)),$O14/(1+(S$11*0.232)))))))</f>
        <v>#N/A</v>
      </c>
      <c r="T14" s="1176" t="e">
        <f>IF(T$10=0,0,IF('Regulação de polinização'!J106&gt;0,'Regulação de polinização'!J106,TRUNC(IF(T$11=0,$O14,IF(T$11&lt;0,$O14*(1+(-T$11*0.232)),$O14/(1+(T$11*0.232)))))))</f>
        <v>#N/A</v>
      </c>
      <c r="U14" s="1176" t="e">
        <f>IF(U$10=0,0,IF('Regulação de polinização'!K106&gt;0,'Regulação de polinização'!K106,TRUNC(IF(U$11=0,$O14,IF(U$11&lt;0,$O14*(1+(-U$11*0.232)),$O14/(1+(U$11*0.232)))))))</f>
        <v>#N/A</v>
      </c>
      <c r="V14" s="1176" t="e">
        <f>IF(V$10=0,0,IF('Regulação de polinização'!L106&gt;0,'Regulação de polinização'!L106,TRUNC(IF(V$11=0,$O14,IF(V$11&lt;0,$O14*(1+(-V$11*0.232)),$O14/(1+(V$11*0.232)))))))</f>
        <v>#N/A</v>
      </c>
      <c r="W14" s="1176" t="e">
        <f>IF(W$10=0,0,IF('Regulação de polinização'!M106&gt;0,'Regulação de polinização'!M106,TRUNC(IF(W$11=0,$O14,IF(W$11&lt;0,$O14*(1+(-W$11*0.232)),$O14/(1+(W$11*0.232)))))))</f>
        <v>#N/A</v>
      </c>
      <c r="X14" s="1176" t="e">
        <f>IF(X$10=0,0,IF('Regulação de polinização'!N106&gt;0,'Regulação de polinização'!N106,TRUNC(IF(X$11=0,$O14,IF(X$11&lt;0,$O14*(1+(-X$11*0.232)),$O14/(1+(X$11*0.232)))))))</f>
        <v>#N/A</v>
      </c>
      <c r="Y14" s="1176" t="e">
        <f>IF(Y$10=0,0,IF('Regulação de polinização'!O106&gt;0,'Regulação de polinização'!O106,TRUNC(IF(Y$11=0,$O14,IF(Y$11&lt;0,$O14*(1+(-Y$11*0.232)),$O14/(1+(Y$11*0.232)))))))</f>
        <v>#N/A</v>
      </c>
      <c r="Z14" s="1176" t="e">
        <f>IF(Z$10=0,0,IF('Regulação de polinização'!P106&gt;0,'Regulação de polinização'!P106,TRUNC(IF(Z$11=0,$O14,IF(Z$11&lt;0,$O14*(1+(-Z$11*0.232)),$O14/(1+(Z$11*0.232)))))))</f>
        <v>#N/A</v>
      </c>
      <c r="AA14" s="1177">
        <f>IF('Regulação de polinização'!Q106&gt;0,'Regulação de polinização'!Q106,VLOOKUP(N14,'Apoio Regulação de Polinização'!$AD$9:$AH$70,4,FALSE))</f>
        <v>8</v>
      </c>
      <c r="AB14" s="1132"/>
      <c r="AC14" s="1132"/>
      <c r="AD14" s="1197" t="s">
        <v>829</v>
      </c>
      <c r="AE14" s="1193" t="s">
        <v>830</v>
      </c>
      <c r="AF14" s="1194">
        <v>3.9</v>
      </c>
      <c r="AG14" s="1195">
        <v>2.2999999999999998</v>
      </c>
      <c r="AH14" s="1198">
        <v>1</v>
      </c>
      <c r="AI14" s="1134"/>
      <c r="AJ14" s="1134"/>
    </row>
    <row r="15" spans="1:36" x14ac:dyDescent="0.25">
      <c r="B15" s="575" t="s">
        <v>831</v>
      </c>
      <c r="C15" s="1122" t="s">
        <v>832</v>
      </c>
      <c r="D15" s="1119">
        <v>0.3</v>
      </c>
      <c r="E15" s="758">
        <v>7</v>
      </c>
      <c r="F15" s="758">
        <v>5</v>
      </c>
      <c r="G15" s="1120">
        <f t="shared" si="1"/>
        <v>250000</v>
      </c>
      <c r="H15" s="758">
        <v>5</v>
      </c>
      <c r="I15" s="758" t="s">
        <v>723</v>
      </c>
      <c r="J15" s="758" t="s">
        <v>723</v>
      </c>
      <c r="K15" s="196"/>
      <c r="N15" s="1169">
        <f>'Regulação de polinização'!C107</f>
        <v>0</v>
      </c>
      <c r="O15" s="1176">
        <f>'Regulação de polinização'!E107</f>
        <v>0</v>
      </c>
      <c r="P15" s="1176" t="e">
        <f>IF(P$10=0,0,IF('Regulação de polinização'!F107&gt;0,'Regulação de polinização'!F107,TRUNC(IF(P$11=0,$O15,IF(P$11&lt;0,$O15*(1+(-P$11*0.232)),$O15/(1+(P$11*0.232)))))))</f>
        <v>#N/A</v>
      </c>
      <c r="Q15" s="1176" t="e">
        <f>IF(Q$10=0,0,IF('Regulação de polinização'!G107&gt;0,'Regulação de polinização'!G107,TRUNC(IF(Q$11=0,$O15,IF(Q$11&lt;0,$O15*(1+(-Q$11*0.232)),$O15/(1+(Q$11*0.232)))))))</f>
        <v>#N/A</v>
      </c>
      <c r="R15" s="1176" t="e">
        <f>IF(R$10=0,0,IF('Regulação de polinização'!H107&gt;0,'Regulação de polinização'!H107,TRUNC(IF(R$11=0,$O15,IF(R$11&lt;0,$O15*(1+(-R$11*0.232)),$O15/(1+(R$11*0.232)))))))</f>
        <v>#N/A</v>
      </c>
      <c r="S15" s="1176" t="e">
        <f>IF(S$10=0,0,IF('Regulação de polinização'!I107&gt;0,'Regulação de polinização'!I107,TRUNC(IF(S$11=0,$O15,IF(S$11&lt;0,$O15*(1+(-S$11*0.232)),$O15/(1+(S$11*0.232)))))))</f>
        <v>#N/A</v>
      </c>
      <c r="T15" s="1176" t="e">
        <f>IF(T$10=0,0,IF('Regulação de polinização'!J107&gt;0,'Regulação de polinização'!J107,TRUNC(IF(T$11=0,$O15,IF(T$11&lt;0,$O15*(1+(-T$11*0.232)),$O15/(1+(T$11*0.232)))))))</f>
        <v>#N/A</v>
      </c>
      <c r="U15" s="1176" t="e">
        <f>IF(U$10=0,0,IF('Regulação de polinização'!K107&gt;0,'Regulação de polinização'!K107,TRUNC(IF(U$11=0,$O15,IF(U$11&lt;0,$O15*(1+(-U$11*0.232)),$O15/(1+(U$11*0.232)))))))</f>
        <v>#N/A</v>
      </c>
      <c r="V15" s="1176" t="e">
        <f>IF(V$10=0,0,IF('Regulação de polinização'!L107&gt;0,'Regulação de polinização'!L107,TRUNC(IF(V$11=0,$O15,IF(V$11&lt;0,$O15*(1+(-V$11*0.232)),$O15/(1+(V$11*0.232)))))))</f>
        <v>#N/A</v>
      </c>
      <c r="W15" s="1176" t="e">
        <f>IF(W$10=0,0,IF('Regulação de polinização'!M107&gt;0,'Regulação de polinização'!M107,TRUNC(IF(W$11=0,$O15,IF(W$11&lt;0,$O15*(1+(-W$11*0.232)),$O15/(1+(W$11*0.232)))))))</f>
        <v>#N/A</v>
      </c>
      <c r="X15" s="1176" t="e">
        <f>IF(X$10=0,0,IF('Regulação de polinização'!N107&gt;0,'Regulação de polinização'!N107,TRUNC(IF(X$11=0,$O15,IF(X$11&lt;0,$O15*(1+(-X$11*0.232)),$O15/(1+(X$11*0.232)))))))</f>
        <v>#N/A</v>
      </c>
      <c r="Y15" s="1176" t="e">
        <f>IF(Y$10=0,0,IF('Regulação de polinização'!O107&gt;0,'Regulação de polinização'!O107,TRUNC(IF(Y$11=0,$O15,IF(Y$11&lt;0,$O15*(1+(-Y$11*0.232)),$O15/(1+(Y$11*0.232)))))))</f>
        <v>#N/A</v>
      </c>
      <c r="Z15" s="1176" t="e">
        <f>IF(Z$10=0,0,IF('Regulação de polinização'!P107&gt;0,'Regulação de polinização'!P107,TRUNC(IF(Z$11=0,$O15,IF(Z$11&lt;0,$O15*(1+(-Z$11*0.232)),$O15/(1+(Z$11*0.232)))))))</f>
        <v>#N/A</v>
      </c>
      <c r="AA15" s="1177" t="e">
        <f>IF('Regulação de polinização'!Q107&gt;0,'Regulação de polinização'!Q107,VLOOKUP(N15,'Apoio Regulação de Polinização'!$AD$9:$AH$70,4,FALSE))</f>
        <v>#N/A</v>
      </c>
      <c r="AB15" s="1132"/>
      <c r="AC15" s="1132"/>
      <c r="AD15" s="1192" t="s">
        <v>833</v>
      </c>
      <c r="AE15" s="1193" t="s">
        <v>830</v>
      </c>
      <c r="AF15" s="1194">
        <v>4.9000000000000004</v>
      </c>
      <c r="AG15" s="1195">
        <v>8.8000000000000007</v>
      </c>
      <c r="AH15" s="1193">
        <v>1</v>
      </c>
      <c r="AI15" s="1134"/>
      <c r="AJ15" s="1134"/>
    </row>
    <row r="16" spans="1:36" x14ac:dyDescent="0.25">
      <c r="B16" s="575" t="s">
        <v>834</v>
      </c>
      <c r="C16" s="1123" t="s">
        <v>835</v>
      </c>
      <c r="D16" s="1119">
        <v>0.64</v>
      </c>
      <c r="E16" s="758">
        <v>7</v>
      </c>
      <c r="F16" s="758">
        <v>5</v>
      </c>
      <c r="G16" s="1120">
        <f t="shared" si="1"/>
        <v>250000</v>
      </c>
      <c r="H16" s="758">
        <v>5</v>
      </c>
      <c r="I16" s="758" t="s">
        <v>723</v>
      </c>
      <c r="J16" s="758" t="s">
        <v>723</v>
      </c>
      <c r="K16" s="196"/>
      <c r="N16" s="1169">
        <f>'Regulação de polinização'!C108</f>
        <v>0</v>
      </c>
      <c r="O16" s="1176">
        <f>'Regulação de polinização'!E108</f>
        <v>0</v>
      </c>
      <c r="P16" s="1176" t="e">
        <f>IF(P$10=0,0,IF('Regulação de polinização'!F108&gt;0,'Regulação de polinização'!F108,TRUNC(IF(P$11=0,$O16,IF(P$11&lt;0,$O16*(1+(-P$11*0.232)),$O16/(1+(P$11*0.232)))))))</f>
        <v>#N/A</v>
      </c>
      <c r="Q16" s="1176" t="e">
        <f>IF(Q$10=0,0,IF('Regulação de polinização'!G108&gt;0,'Regulação de polinização'!G108,TRUNC(IF(Q$11=0,$O16,IF(Q$11&lt;0,$O16*(1+(-Q$11*0.232)),$O16/(1+(Q$11*0.232)))))))</f>
        <v>#N/A</v>
      </c>
      <c r="R16" s="1176" t="e">
        <f>IF(R$10=0,0,IF('Regulação de polinização'!H108&gt;0,'Regulação de polinização'!H108,TRUNC(IF(R$11=0,$O16,IF(R$11&lt;0,$O16*(1+(-R$11*0.232)),$O16/(1+(R$11*0.232)))))))</f>
        <v>#N/A</v>
      </c>
      <c r="S16" s="1176" t="e">
        <f>IF(S$10=0,0,IF('Regulação de polinização'!I108&gt;0,'Regulação de polinização'!I108,TRUNC(IF(S$11=0,$O16,IF(S$11&lt;0,$O16*(1+(-S$11*0.232)),$O16/(1+(S$11*0.232)))))))</f>
        <v>#N/A</v>
      </c>
      <c r="T16" s="1176" t="e">
        <f>IF(T$10=0,0,IF('Regulação de polinização'!J108&gt;0,'Regulação de polinização'!J108,TRUNC(IF(T$11=0,$O16,IF(T$11&lt;0,$O16*(1+(-T$11*0.232)),$O16/(1+(T$11*0.232)))))))</f>
        <v>#N/A</v>
      </c>
      <c r="U16" s="1176" t="e">
        <f>IF(U$10=0,0,IF('Regulação de polinização'!K108&gt;0,'Regulação de polinização'!K108,TRUNC(IF(U$11=0,$O16,IF(U$11&lt;0,$O16*(1+(-U$11*0.232)),$O16/(1+(U$11*0.232)))))))</f>
        <v>#N/A</v>
      </c>
      <c r="V16" s="1176" t="e">
        <f>IF(V$10=0,0,IF('Regulação de polinização'!L108&gt;0,'Regulação de polinização'!L108,TRUNC(IF(V$11=0,$O16,IF(V$11&lt;0,$O16*(1+(-V$11*0.232)),$O16/(1+(V$11*0.232)))))))</f>
        <v>#N/A</v>
      </c>
      <c r="W16" s="1176" t="e">
        <f>IF(W$10=0,0,IF('Regulação de polinização'!M108&gt;0,'Regulação de polinização'!M108,TRUNC(IF(W$11=0,$O16,IF(W$11&lt;0,$O16*(1+(-W$11*0.232)),$O16/(1+(W$11*0.232)))))))</f>
        <v>#N/A</v>
      </c>
      <c r="X16" s="1176" t="e">
        <f>IF(X$10=0,0,IF('Regulação de polinização'!N108&gt;0,'Regulação de polinização'!N108,TRUNC(IF(X$11=0,$O16,IF(X$11&lt;0,$O16*(1+(-X$11*0.232)),$O16/(1+(X$11*0.232)))))))</f>
        <v>#N/A</v>
      </c>
      <c r="Y16" s="1176" t="e">
        <f>IF(Y$10=0,0,IF('Regulação de polinização'!O108&gt;0,'Regulação de polinização'!O108,TRUNC(IF(Y$11=0,$O16,IF(Y$11&lt;0,$O16*(1+(-Y$11*0.232)),$O16/(1+(Y$11*0.232)))))))</f>
        <v>#N/A</v>
      </c>
      <c r="Z16" s="1176" t="e">
        <f>IF(Z$10=0,0,IF('Regulação de polinização'!P108&gt;0,'Regulação de polinização'!P108,TRUNC(IF(Z$11=0,$O16,IF(Z$11&lt;0,$O16*(1+(-Z$11*0.232)),$O16/(1+(Z$11*0.232)))))))</f>
        <v>#N/A</v>
      </c>
      <c r="AA16" s="1177" t="e">
        <f>IF('Regulação de polinização'!Q108&gt;0,'Regulação de polinização'!Q108,VLOOKUP(N16,'Apoio Regulação de Polinização'!$AD$9:$AH$70,4,FALSE))</f>
        <v>#N/A</v>
      </c>
      <c r="AB16" s="1132"/>
      <c r="AC16" s="1132"/>
      <c r="AD16" s="1192" t="s">
        <v>836</v>
      </c>
      <c r="AE16" s="1193" t="s">
        <v>830</v>
      </c>
      <c r="AF16" s="1194">
        <v>3.6</v>
      </c>
      <c r="AG16" s="1195">
        <v>3.2</v>
      </c>
      <c r="AH16" s="1193">
        <v>1</v>
      </c>
      <c r="AI16" s="1134"/>
      <c r="AJ16" s="1134"/>
    </row>
    <row r="17" spans="2:36" x14ac:dyDescent="0.25">
      <c r="B17" s="575" t="s">
        <v>837</v>
      </c>
      <c r="C17" s="1123" t="s">
        <v>838</v>
      </c>
      <c r="D17" s="1119">
        <v>0.31</v>
      </c>
      <c r="E17" s="758" t="s">
        <v>723</v>
      </c>
      <c r="F17" s="758">
        <v>2</v>
      </c>
      <c r="G17" s="1120">
        <f t="shared" si="1"/>
        <v>100000</v>
      </c>
      <c r="H17" s="758">
        <v>5</v>
      </c>
      <c r="I17" s="758" t="s">
        <v>723</v>
      </c>
      <c r="J17" s="758" t="s">
        <v>723</v>
      </c>
      <c r="K17" s="196"/>
      <c r="N17" s="1169">
        <f>'Regulação de polinização'!C109</f>
        <v>0</v>
      </c>
      <c r="O17" s="1176">
        <f>'Regulação de polinização'!E109</f>
        <v>0</v>
      </c>
      <c r="P17" s="1176" t="e">
        <f>IF(P$10=0,0,IF('Regulação de polinização'!F109&gt;0,'Regulação de polinização'!F109,TRUNC(IF(P$11=0,$O17,IF(P$11&lt;0,$O17*(1+(-P$11*0.232)),$O17/(1+(P$11*0.232)))))))</f>
        <v>#N/A</v>
      </c>
      <c r="Q17" s="1176" t="e">
        <f>IF(Q$10=0,0,IF('Regulação de polinização'!G109&gt;0,'Regulação de polinização'!G109,TRUNC(IF(Q$11=0,$O17,IF(Q$11&lt;0,$O17*(1+(-Q$11*0.232)),$O17/(1+(Q$11*0.232)))))))</f>
        <v>#N/A</v>
      </c>
      <c r="R17" s="1176" t="e">
        <f>IF(R$10=0,0,IF('Regulação de polinização'!H109&gt;0,'Regulação de polinização'!H109,TRUNC(IF(R$11=0,$O17,IF(R$11&lt;0,$O17*(1+(-R$11*0.232)),$O17/(1+(R$11*0.232)))))))</f>
        <v>#N/A</v>
      </c>
      <c r="S17" s="1176" t="e">
        <f>IF(S$10=0,0,IF('Regulação de polinização'!I109&gt;0,'Regulação de polinização'!I109,TRUNC(IF(S$11=0,$O17,IF(S$11&lt;0,$O17*(1+(-S$11*0.232)),$O17/(1+(S$11*0.232)))))))</f>
        <v>#N/A</v>
      </c>
      <c r="T17" s="1176" t="e">
        <f>IF(T$10=0,0,IF('Regulação de polinização'!J109&gt;0,'Regulação de polinização'!J109,TRUNC(IF(T$11=0,$O17,IF(T$11&lt;0,$O17*(1+(-T$11*0.232)),$O17/(1+(T$11*0.232)))))))</f>
        <v>#N/A</v>
      </c>
      <c r="U17" s="1176" t="e">
        <f>IF(U$10=0,0,IF('Regulação de polinização'!K109&gt;0,'Regulação de polinização'!K109,TRUNC(IF(U$11=0,$O17,IF(U$11&lt;0,$O17*(1+(-U$11*0.232)),$O17/(1+(U$11*0.232)))))))</f>
        <v>#N/A</v>
      </c>
      <c r="V17" s="1176" t="e">
        <f>IF(V$10=0,0,IF('Regulação de polinização'!L109&gt;0,'Regulação de polinização'!L109,TRUNC(IF(V$11=0,$O17,IF(V$11&lt;0,$O17*(1+(-V$11*0.232)),$O17/(1+(V$11*0.232)))))))</f>
        <v>#N/A</v>
      </c>
      <c r="W17" s="1176" t="e">
        <f>IF(W$10=0,0,IF('Regulação de polinização'!M109&gt;0,'Regulação de polinização'!M109,TRUNC(IF(W$11=0,$O17,IF(W$11&lt;0,$O17*(1+(-W$11*0.232)),$O17/(1+(W$11*0.232)))))))</f>
        <v>#N/A</v>
      </c>
      <c r="X17" s="1176" t="e">
        <f>IF(X$10=0,0,IF('Regulação de polinização'!N109&gt;0,'Regulação de polinização'!N109,TRUNC(IF(X$11=0,$O17,IF(X$11&lt;0,$O17*(1+(-X$11*0.232)),$O17/(1+(X$11*0.232)))))))</f>
        <v>#N/A</v>
      </c>
      <c r="Y17" s="1176" t="e">
        <f>IF(Y$10=0,0,IF('Regulação de polinização'!O109&gt;0,'Regulação de polinização'!O109,TRUNC(IF(Y$11=0,$O17,IF(Y$11&lt;0,$O17*(1+(-Y$11*0.232)),$O17/(1+(Y$11*0.232)))))))</f>
        <v>#N/A</v>
      </c>
      <c r="Z17" s="1176" t="e">
        <f>IF(Z$10=0,0,IF('Regulação de polinização'!P109&gt;0,'Regulação de polinização'!P109,TRUNC(IF(Z$11=0,$O17,IF(Z$11&lt;0,$O17*(1+(-Z$11*0.232)),$O17/(1+(Z$11*0.232)))))))</f>
        <v>#N/A</v>
      </c>
      <c r="AA17" s="1177" t="e">
        <f>IF('Regulação de polinização'!Q109&gt;0,'Regulação de polinização'!Q109,VLOOKUP(N17,'Apoio Regulação de Polinização'!$AD$9:$AH$70,4,FALSE))</f>
        <v>#N/A</v>
      </c>
      <c r="AB17" s="1132"/>
      <c r="AC17" s="1132"/>
      <c r="AD17" s="1197" t="s">
        <v>839</v>
      </c>
      <c r="AE17" s="1193" t="s">
        <v>830</v>
      </c>
      <c r="AF17" s="1194">
        <v>2.7</v>
      </c>
      <c r="AG17" s="1195">
        <v>0.8</v>
      </c>
      <c r="AH17" s="1198">
        <v>1</v>
      </c>
      <c r="AI17" s="1134"/>
      <c r="AJ17" s="1134"/>
    </row>
    <row r="18" spans="2:36" x14ac:dyDescent="0.25">
      <c r="B18" s="575" t="s">
        <v>840</v>
      </c>
      <c r="C18" s="1123" t="s">
        <v>838</v>
      </c>
      <c r="D18" s="1119">
        <v>0.31</v>
      </c>
      <c r="E18" s="758" t="s">
        <v>723</v>
      </c>
      <c r="F18" s="758">
        <v>2</v>
      </c>
      <c r="G18" s="1120">
        <f t="shared" si="1"/>
        <v>100000</v>
      </c>
      <c r="H18" s="758">
        <v>5</v>
      </c>
      <c r="I18" s="758" t="s">
        <v>723</v>
      </c>
      <c r="J18" s="758" t="s">
        <v>723</v>
      </c>
      <c r="K18" s="196"/>
      <c r="N18" s="1169">
        <f>'Regulação de polinização'!C110</f>
        <v>0</v>
      </c>
      <c r="O18" s="1176">
        <f>'Regulação de polinização'!E110</f>
        <v>0</v>
      </c>
      <c r="P18" s="1176" t="e">
        <f>IF(P$10=0,0,IF('Regulação de polinização'!F110&gt;0,'Regulação de polinização'!F110,TRUNC(IF(P$11=0,$O18,IF(P$11&lt;0,$O18*(1+(-P$11*0.232)),$O18/(1+(P$11*0.232)))))))</f>
        <v>#N/A</v>
      </c>
      <c r="Q18" s="1176" t="e">
        <f>IF(Q$10=0,0,IF('Regulação de polinização'!G110&gt;0,'Regulação de polinização'!G110,TRUNC(IF(Q$11=0,$O18,IF(Q$11&lt;0,$O18*(1+(-Q$11*0.232)),$O18/(1+(Q$11*0.232)))))))</f>
        <v>#N/A</v>
      </c>
      <c r="R18" s="1176" t="e">
        <f>IF(R$10=0,0,IF('Regulação de polinização'!H110&gt;0,'Regulação de polinização'!H110,TRUNC(IF(R$11=0,$O18,IF(R$11&lt;0,$O18*(1+(-R$11*0.232)),$O18/(1+(R$11*0.232)))))))</f>
        <v>#N/A</v>
      </c>
      <c r="S18" s="1176" t="e">
        <f>IF(S$10=0,0,IF('Regulação de polinização'!I110&gt;0,'Regulação de polinização'!I110,TRUNC(IF(S$11=0,$O18,IF(S$11&lt;0,$O18*(1+(-S$11*0.232)),$O18/(1+(S$11*0.232)))))))</f>
        <v>#N/A</v>
      </c>
      <c r="T18" s="1176" t="e">
        <f>IF(T$10=0,0,IF('Regulação de polinização'!J110&gt;0,'Regulação de polinização'!J110,TRUNC(IF(T$11=0,$O18,IF(T$11&lt;0,$O18*(1+(-T$11*0.232)),$O18/(1+(T$11*0.232)))))))</f>
        <v>#N/A</v>
      </c>
      <c r="U18" s="1176" t="e">
        <f>IF(U$10=0,0,IF('Regulação de polinização'!K110&gt;0,'Regulação de polinização'!K110,TRUNC(IF(U$11=0,$O18,IF(U$11&lt;0,$O18*(1+(-U$11*0.232)),$O18/(1+(U$11*0.232)))))))</f>
        <v>#N/A</v>
      </c>
      <c r="V18" s="1176" t="e">
        <f>IF(V$10=0,0,IF('Regulação de polinização'!L110&gt;0,'Regulação de polinização'!L110,TRUNC(IF(V$11=0,$O18,IF(V$11&lt;0,$O18*(1+(-V$11*0.232)),$O18/(1+(V$11*0.232)))))))</f>
        <v>#N/A</v>
      </c>
      <c r="W18" s="1176" t="e">
        <f>IF(W$10=0,0,IF('Regulação de polinização'!M110&gt;0,'Regulação de polinização'!M110,TRUNC(IF(W$11=0,$O18,IF(W$11&lt;0,$O18*(1+(-W$11*0.232)),$O18/(1+(W$11*0.232)))))))</f>
        <v>#N/A</v>
      </c>
      <c r="X18" s="1176" t="e">
        <f>IF(X$10=0,0,IF('Regulação de polinização'!N110&gt;0,'Regulação de polinização'!N110,TRUNC(IF(X$11=0,$O18,IF(X$11&lt;0,$O18*(1+(-X$11*0.232)),$O18/(1+(X$11*0.232)))))))</f>
        <v>#N/A</v>
      </c>
      <c r="Y18" s="1176" t="e">
        <f>IF(Y$10=0,0,IF('Regulação de polinização'!O110&gt;0,'Regulação de polinização'!O110,TRUNC(IF(Y$11=0,$O18,IF(Y$11&lt;0,$O18*(1+(-Y$11*0.232)),$O18/(1+(Y$11*0.232)))))))</f>
        <v>#N/A</v>
      </c>
      <c r="Z18" s="1176" t="e">
        <f>IF(Z$10=0,0,IF('Regulação de polinização'!P110&gt;0,'Regulação de polinização'!P110,TRUNC(IF(Z$11=0,$O18,IF(Z$11&lt;0,$O18*(1+(-Z$11*0.232)),$O18/(1+(Z$11*0.232)))))))</f>
        <v>#N/A</v>
      </c>
      <c r="AA18" s="1177" t="e">
        <f>IF('Regulação de polinização'!Q110&gt;0,'Regulação de polinização'!Q110,VLOOKUP(N18,'Apoio Regulação de Polinização'!$AD$9:$AH$70,4,FALSE))</f>
        <v>#N/A</v>
      </c>
      <c r="AB18" s="1132"/>
      <c r="AC18" s="1132"/>
      <c r="AD18" s="1197" t="s">
        <v>841</v>
      </c>
      <c r="AE18" s="1193" t="s">
        <v>830</v>
      </c>
      <c r="AF18" s="1194">
        <v>2.7</v>
      </c>
      <c r="AG18" s="1195">
        <v>1</v>
      </c>
      <c r="AH18" s="1198">
        <v>1</v>
      </c>
      <c r="AI18" s="1134"/>
      <c r="AJ18" s="1134"/>
    </row>
    <row r="19" spans="2:36" x14ac:dyDescent="0.25">
      <c r="B19" s="575" t="s">
        <v>842</v>
      </c>
      <c r="C19" s="1123" t="s">
        <v>838</v>
      </c>
      <c r="D19" s="1119">
        <v>0.31</v>
      </c>
      <c r="E19" s="758">
        <v>7</v>
      </c>
      <c r="F19" s="758">
        <v>2</v>
      </c>
      <c r="G19" s="1120">
        <f t="shared" si="1"/>
        <v>100000</v>
      </c>
      <c r="H19" s="758">
        <v>7</v>
      </c>
      <c r="I19" s="758" t="s">
        <v>723</v>
      </c>
      <c r="J19" s="758" t="s">
        <v>723</v>
      </c>
      <c r="K19" s="196"/>
      <c r="N19" s="1169">
        <f>'Regulação de polinização'!C111</f>
        <v>0</v>
      </c>
      <c r="O19" s="1176">
        <f>'Regulação de polinização'!E111</f>
        <v>0</v>
      </c>
      <c r="P19" s="1176" t="e">
        <f>IF(P$10=0,0,IF('Regulação de polinização'!F111&gt;0,'Regulação de polinização'!F111,TRUNC(IF(P$11=0,$O19,IF(P$11&lt;0,$O19*(1+(-P$11*0.232)),$O19/(1+(P$11*0.232)))))))</f>
        <v>#N/A</v>
      </c>
      <c r="Q19" s="1176" t="e">
        <f>IF(Q$10=0,0,IF('Regulação de polinização'!G111&gt;0,'Regulação de polinização'!G111,TRUNC(IF(Q$11=0,$O19,IF(Q$11&lt;0,$O19*(1+(-Q$11*0.232)),$O19/(1+(Q$11*0.232)))))))</f>
        <v>#N/A</v>
      </c>
      <c r="R19" s="1176" t="e">
        <f>IF(R$10=0,0,IF('Regulação de polinização'!H111&gt;0,'Regulação de polinização'!H111,TRUNC(IF(R$11=0,$O19,IF(R$11&lt;0,$O19*(1+(-R$11*0.232)),$O19/(1+(R$11*0.232)))))))</f>
        <v>#N/A</v>
      </c>
      <c r="S19" s="1176" t="e">
        <f>IF(S$10=0,0,IF('Regulação de polinização'!I111&gt;0,'Regulação de polinização'!I111,TRUNC(IF(S$11=0,$O19,IF(S$11&lt;0,$O19*(1+(-S$11*0.232)),$O19/(1+(S$11*0.232)))))))</f>
        <v>#N/A</v>
      </c>
      <c r="T19" s="1176" t="e">
        <f>IF(T$10=0,0,IF('Regulação de polinização'!J111&gt;0,'Regulação de polinização'!J111,TRUNC(IF(T$11=0,$O19,IF(T$11&lt;0,$O19*(1+(-T$11*0.232)),$O19/(1+(T$11*0.232)))))))</f>
        <v>#N/A</v>
      </c>
      <c r="U19" s="1176" t="e">
        <f>IF(U$10=0,0,IF('Regulação de polinização'!K111&gt;0,'Regulação de polinização'!K111,TRUNC(IF(U$11=0,$O19,IF(U$11&lt;0,$O19*(1+(-U$11*0.232)),$O19/(1+(U$11*0.232)))))))</f>
        <v>#N/A</v>
      </c>
      <c r="V19" s="1176" t="e">
        <f>IF(V$10=0,0,IF('Regulação de polinização'!L111&gt;0,'Regulação de polinização'!L111,TRUNC(IF(V$11=0,$O19,IF(V$11&lt;0,$O19*(1+(-V$11*0.232)),$O19/(1+(V$11*0.232)))))))</f>
        <v>#N/A</v>
      </c>
      <c r="W19" s="1176" t="e">
        <f>IF(W$10=0,0,IF('Regulação de polinização'!M111&gt;0,'Regulação de polinização'!M111,TRUNC(IF(W$11=0,$O19,IF(W$11&lt;0,$O19*(1+(-W$11*0.232)),$O19/(1+(W$11*0.232)))))))</f>
        <v>#N/A</v>
      </c>
      <c r="X19" s="1176" t="e">
        <f>IF(X$10=0,0,IF('Regulação de polinização'!N111&gt;0,'Regulação de polinização'!N111,TRUNC(IF(X$11=0,$O19,IF(X$11&lt;0,$O19*(1+(-X$11*0.232)),$O19/(1+(X$11*0.232)))))))</f>
        <v>#N/A</v>
      </c>
      <c r="Y19" s="1176" t="e">
        <f>IF(Y$10=0,0,IF('Regulação de polinização'!O111&gt;0,'Regulação de polinização'!O111,TRUNC(IF(Y$11=0,$O19,IF(Y$11&lt;0,$O19*(1+(-Y$11*0.232)),$O19/(1+(Y$11*0.232)))))))</f>
        <v>#N/A</v>
      </c>
      <c r="Z19" s="1176" t="e">
        <f>IF(Z$10=0,0,IF('Regulação de polinização'!P111&gt;0,'Regulação de polinização'!P111,TRUNC(IF(Z$11=0,$O19,IF(Z$11&lt;0,$O19*(1+(-Z$11*0.232)),$O19/(1+(Z$11*0.232)))))))</f>
        <v>#N/A</v>
      </c>
      <c r="AA19" s="1177" t="e">
        <f>IF('Regulação de polinização'!Q111&gt;0,'Regulação de polinização'!Q111,VLOOKUP(N19,'Apoio Regulação de Polinização'!$AD$9:$AH$70,4,FALSE))</f>
        <v>#N/A</v>
      </c>
      <c r="AB19" s="1132"/>
      <c r="AC19" s="1132"/>
      <c r="AD19" s="1192" t="s">
        <v>843</v>
      </c>
      <c r="AE19" s="1193" t="s">
        <v>830</v>
      </c>
      <c r="AF19" s="1194">
        <v>1.8</v>
      </c>
      <c r="AG19" s="1195">
        <v>0.3</v>
      </c>
      <c r="AH19" s="1193">
        <v>1</v>
      </c>
      <c r="AI19" s="1134"/>
      <c r="AJ19" s="1134"/>
    </row>
    <row r="20" spans="2:36" x14ac:dyDescent="0.25">
      <c r="B20" s="575" t="s">
        <v>844</v>
      </c>
      <c r="C20" s="1123" t="s">
        <v>838</v>
      </c>
      <c r="D20" s="1119">
        <v>0.31</v>
      </c>
      <c r="E20" s="758">
        <v>7</v>
      </c>
      <c r="F20" s="758">
        <v>2</v>
      </c>
      <c r="G20" s="1120">
        <f t="shared" si="1"/>
        <v>100000</v>
      </c>
      <c r="H20" s="758">
        <v>7</v>
      </c>
      <c r="I20" s="758" t="s">
        <v>723</v>
      </c>
      <c r="J20" s="758" t="s">
        <v>723</v>
      </c>
      <c r="K20" s="196"/>
      <c r="N20" s="1169">
        <f>'Regulação de polinização'!C112</f>
        <v>0</v>
      </c>
      <c r="O20" s="1176">
        <f>'Regulação de polinização'!E112</f>
        <v>0</v>
      </c>
      <c r="P20" s="1176" t="e">
        <f>IF(P$10=0,0,IF('Regulação de polinização'!F112&gt;0,'Regulação de polinização'!F112,TRUNC(IF(P$11=0,$O20,IF(P$11&lt;0,$O20*(1+(-P$11*0.232)),$O20/(1+(P$11*0.232)))))))</f>
        <v>#N/A</v>
      </c>
      <c r="Q20" s="1176" t="e">
        <f>IF(Q$10=0,0,IF('Regulação de polinização'!G112&gt;0,'Regulação de polinização'!G112,TRUNC(IF(Q$11=0,$O20,IF(Q$11&lt;0,$O20*(1+(-Q$11*0.232)),$O20/(1+(Q$11*0.232)))))))</f>
        <v>#N/A</v>
      </c>
      <c r="R20" s="1176" t="e">
        <f>IF(R$10=0,0,IF('Regulação de polinização'!H112&gt;0,'Regulação de polinização'!H112,TRUNC(IF(R$11=0,$O20,IF(R$11&lt;0,$O20*(1+(-R$11*0.232)),$O20/(1+(R$11*0.232)))))))</f>
        <v>#N/A</v>
      </c>
      <c r="S20" s="1176" t="e">
        <f>IF(S$10=0,0,IF('Regulação de polinização'!I112&gt;0,'Regulação de polinização'!I112,TRUNC(IF(S$11=0,$O20,IF(S$11&lt;0,$O20*(1+(-S$11*0.232)),$O20/(1+(S$11*0.232)))))))</f>
        <v>#N/A</v>
      </c>
      <c r="T20" s="1176" t="e">
        <f>IF(T$10=0,0,IF('Regulação de polinização'!J112&gt;0,'Regulação de polinização'!J112,TRUNC(IF(T$11=0,$O20,IF(T$11&lt;0,$O20*(1+(-T$11*0.232)),$O20/(1+(T$11*0.232)))))))</f>
        <v>#N/A</v>
      </c>
      <c r="U20" s="1176" t="e">
        <f>IF(U$10=0,0,IF('Regulação de polinização'!K112&gt;0,'Regulação de polinização'!K112,TRUNC(IF(U$11=0,$O20,IF(U$11&lt;0,$O20*(1+(-U$11*0.232)),$O20/(1+(U$11*0.232)))))))</f>
        <v>#N/A</v>
      </c>
      <c r="V20" s="1176" t="e">
        <f>IF(V$10=0,0,IF('Regulação de polinização'!L112&gt;0,'Regulação de polinização'!L112,TRUNC(IF(V$11=0,$O20,IF(V$11&lt;0,$O20*(1+(-V$11*0.232)),$O20/(1+(V$11*0.232)))))))</f>
        <v>#N/A</v>
      </c>
      <c r="W20" s="1176" t="e">
        <f>IF(W$10=0,0,IF('Regulação de polinização'!M112&gt;0,'Regulação de polinização'!M112,TRUNC(IF(W$11=0,$O20,IF(W$11&lt;0,$O20*(1+(-W$11*0.232)),$O20/(1+(W$11*0.232)))))))</f>
        <v>#N/A</v>
      </c>
      <c r="X20" s="1176" t="e">
        <f>IF(X$10=0,0,IF('Regulação de polinização'!N112&gt;0,'Regulação de polinização'!N112,TRUNC(IF(X$11=0,$O20,IF(X$11&lt;0,$O20*(1+(-X$11*0.232)),$O20/(1+(X$11*0.232)))))))</f>
        <v>#N/A</v>
      </c>
      <c r="Y20" s="1176" t="e">
        <f>IF(Y$10=0,0,IF('Regulação de polinização'!O112&gt;0,'Regulação de polinização'!O112,TRUNC(IF(Y$11=0,$O20,IF(Y$11&lt;0,$O20*(1+(-Y$11*0.232)),$O20/(1+(Y$11*0.232)))))))</f>
        <v>#N/A</v>
      </c>
      <c r="Z20" s="1176" t="e">
        <f>IF(Z$10=0,0,IF('Regulação de polinização'!P112&gt;0,'Regulação de polinização'!P112,TRUNC(IF(Z$11=0,$O20,IF(Z$11&lt;0,$O20*(1+(-Z$11*0.232)),$O20/(1+(Z$11*0.232)))))))</f>
        <v>#N/A</v>
      </c>
      <c r="AA20" s="1177" t="e">
        <f>IF('Regulação de polinização'!Q112&gt;0,'Regulação de polinização'!Q112,VLOOKUP(N20,'Apoio Regulação de Polinização'!$AD$9:$AH$70,4,FALSE))</f>
        <v>#N/A</v>
      </c>
      <c r="AB20" s="1132"/>
      <c r="AC20" s="1132"/>
      <c r="AD20" s="1192" t="s">
        <v>767</v>
      </c>
      <c r="AE20" s="1193" t="s">
        <v>830</v>
      </c>
      <c r="AF20" s="1194">
        <v>3.3</v>
      </c>
      <c r="AG20" s="1195">
        <v>5.9</v>
      </c>
      <c r="AH20" s="1193">
        <v>2</v>
      </c>
      <c r="AI20" s="1134"/>
      <c r="AJ20" s="1134"/>
    </row>
    <row r="21" spans="2:36" x14ac:dyDescent="0.25">
      <c r="B21" s="575" t="s">
        <v>845</v>
      </c>
      <c r="C21" s="1123" t="s">
        <v>838</v>
      </c>
      <c r="D21" s="1119">
        <v>0.31</v>
      </c>
      <c r="E21" s="758">
        <v>7</v>
      </c>
      <c r="F21" s="758">
        <v>2</v>
      </c>
      <c r="G21" s="1120">
        <f t="shared" si="1"/>
        <v>100000</v>
      </c>
      <c r="H21" s="758">
        <v>7</v>
      </c>
      <c r="I21" s="758" t="s">
        <v>723</v>
      </c>
      <c r="J21" s="758" t="s">
        <v>723</v>
      </c>
      <c r="K21" s="196"/>
      <c r="N21" s="1169">
        <f>'Regulação de polinização'!C113</f>
        <v>0</v>
      </c>
      <c r="O21" s="1176">
        <f>'Regulação de polinização'!E113</f>
        <v>0</v>
      </c>
      <c r="P21" s="1176" t="e">
        <f>IF(P$10=0,0,IF('Regulação de polinização'!F113&gt;0,'Regulação de polinização'!F113,TRUNC(IF(P$11=0,$O21,IF(P$11&lt;0,$O21*(1+(-P$11*0.232)),$O21/(1+(P$11*0.232)))))))</f>
        <v>#N/A</v>
      </c>
      <c r="Q21" s="1176" t="e">
        <f>IF(Q$10=0,0,IF('Regulação de polinização'!G113&gt;0,'Regulação de polinização'!G113,TRUNC(IF(Q$11=0,$O21,IF(Q$11&lt;0,$O21*(1+(-Q$11*0.232)),$O21/(1+(Q$11*0.232)))))))</f>
        <v>#N/A</v>
      </c>
      <c r="R21" s="1176" t="e">
        <f>IF(R$10=0,0,IF('Regulação de polinização'!H113&gt;0,'Regulação de polinização'!H113,TRUNC(IF(R$11=0,$O21,IF(R$11&lt;0,$O21*(1+(-R$11*0.232)),$O21/(1+(R$11*0.232)))))))</f>
        <v>#N/A</v>
      </c>
      <c r="S21" s="1176" t="e">
        <f>IF(S$10=0,0,IF('Regulação de polinização'!I113&gt;0,'Regulação de polinização'!I113,TRUNC(IF(S$11=0,$O21,IF(S$11&lt;0,$O21*(1+(-S$11*0.232)),$O21/(1+(S$11*0.232)))))))</f>
        <v>#N/A</v>
      </c>
      <c r="T21" s="1176" t="e">
        <f>IF(T$10=0,0,IF('Regulação de polinização'!J113&gt;0,'Regulação de polinização'!J113,TRUNC(IF(T$11=0,$O21,IF(T$11&lt;0,$O21*(1+(-T$11*0.232)),$O21/(1+(T$11*0.232)))))))</f>
        <v>#N/A</v>
      </c>
      <c r="U21" s="1176" t="e">
        <f>IF(U$10=0,0,IF('Regulação de polinização'!K113&gt;0,'Regulação de polinização'!K113,TRUNC(IF(U$11=0,$O21,IF(U$11&lt;0,$O21*(1+(-U$11*0.232)),$O21/(1+(U$11*0.232)))))))</f>
        <v>#N/A</v>
      </c>
      <c r="V21" s="1176" t="e">
        <f>IF(V$10=0,0,IF('Regulação de polinização'!L113&gt;0,'Regulação de polinização'!L113,TRUNC(IF(V$11=0,$O21,IF(V$11&lt;0,$O21*(1+(-V$11*0.232)),$O21/(1+(V$11*0.232)))))))</f>
        <v>#N/A</v>
      </c>
      <c r="W21" s="1176" t="e">
        <f>IF(W$10=0,0,IF('Regulação de polinização'!M113&gt;0,'Regulação de polinização'!M113,TRUNC(IF(W$11=0,$O21,IF(W$11&lt;0,$O21*(1+(-W$11*0.232)),$O21/(1+(W$11*0.232)))))))</f>
        <v>#N/A</v>
      </c>
      <c r="X21" s="1176" t="e">
        <f>IF(X$10=0,0,IF('Regulação de polinização'!N113&gt;0,'Regulação de polinização'!N113,TRUNC(IF(X$11=0,$O21,IF(X$11&lt;0,$O21*(1+(-X$11*0.232)),$O21/(1+(X$11*0.232)))))))</f>
        <v>#N/A</v>
      </c>
      <c r="Y21" s="1176" t="e">
        <f>IF(Y$10=0,0,IF('Regulação de polinização'!O113&gt;0,'Regulação de polinização'!O113,TRUNC(IF(Y$11=0,$O21,IF(Y$11&lt;0,$O21*(1+(-Y$11*0.232)),$O21/(1+(Y$11*0.232)))))))</f>
        <v>#N/A</v>
      </c>
      <c r="Z21" s="1176" t="e">
        <f>IF(Z$10=0,0,IF('Regulação de polinização'!P113&gt;0,'Regulação de polinização'!P113,TRUNC(IF(Z$11=0,$O21,IF(Z$11&lt;0,$O21*(1+(-Z$11*0.232)),$O21/(1+(Z$11*0.232)))))))</f>
        <v>#N/A</v>
      </c>
      <c r="AA21" s="1177" t="e">
        <f>IF('Regulação de polinização'!Q113&gt;0,'Regulação de polinização'!Q113,VLOOKUP(N21,'Apoio Regulação de Polinização'!$AD$9:$AH$70,4,FALSE))</f>
        <v>#N/A</v>
      </c>
      <c r="AB21" s="1132"/>
      <c r="AC21" s="1132"/>
      <c r="AD21" s="1192" t="s">
        <v>846</v>
      </c>
      <c r="AE21" s="1193" t="s">
        <v>830</v>
      </c>
      <c r="AF21" s="1194">
        <v>4.0999999999999996</v>
      </c>
      <c r="AG21" s="1195">
        <v>4.8</v>
      </c>
      <c r="AH21" s="1193">
        <v>1</v>
      </c>
      <c r="AI21" s="1134"/>
      <c r="AJ21" s="1134"/>
    </row>
    <row r="22" spans="2:36" x14ac:dyDescent="0.25">
      <c r="B22" s="575" t="s">
        <v>847</v>
      </c>
      <c r="C22" s="1122" t="s">
        <v>848</v>
      </c>
      <c r="D22" s="1119">
        <v>0.45</v>
      </c>
      <c r="E22" s="758">
        <v>7</v>
      </c>
      <c r="F22" s="758">
        <v>8</v>
      </c>
      <c r="G22" s="1120">
        <f t="shared" si="1"/>
        <v>400000</v>
      </c>
      <c r="H22" s="758">
        <v>5</v>
      </c>
      <c r="I22" s="758" t="s">
        <v>723</v>
      </c>
      <c r="J22" s="758" t="s">
        <v>723</v>
      </c>
      <c r="K22" s="196"/>
      <c r="N22" s="1169">
        <f>'Regulação de polinização'!C114</f>
        <v>0</v>
      </c>
      <c r="O22" s="1176">
        <f>'Regulação de polinização'!E114</f>
        <v>0</v>
      </c>
      <c r="P22" s="1176" t="e">
        <f>IF(P$10=0,0,IF('Regulação de polinização'!F114&gt;0,'Regulação de polinização'!F114,TRUNC(IF(P$11=0,$O22,IF(P$11&lt;0,$O22*(1+(-P$11*0.232)),$O22/(1+(P$11*0.232)))))))</f>
        <v>#N/A</v>
      </c>
      <c r="Q22" s="1176" t="e">
        <f>IF(Q$10=0,0,IF('Regulação de polinização'!G114&gt;0,'Regulação de polinização'!G114,TRUNC(IF(Q$11=0,$O22,IF(Q$11&lt;0,$O22*(1+(-Q$11*0.232)),$O22/(1+(Q$11*0.232)))))))</f>
        <v>#N/A</v>
      </c>
      <c r="R22" s="1176" t="e">
        <f>IF(R$10=0,0,IF('Regulação de polinização'!H114&gt;0,'Regulação de polinização'!H114,TRUNC(IF(R$11=0,$O22,IF(R$11&lt;0,$O22*(1+(-R$11*0.232)),$O22/(1+(R$11*0.232)))))))</f>
        <v>#N/A</v>
      </c>
      <c r="S22" s="1176" t="e">
        <f>IF(S$10=0,0,IF('Regulação de polinização'!I114&gt;0,'Regulação de polinização'!I114,TRUNC(IF(S$11=0,$O22,IF(S$11&lt;0,$O22*(1+(-S$11*0.232)),$O22/(1+(S$11*0.232)))))))</f>
        <v>#N/A</v>
      </c>
      <c r="T22" s="1176" t="e">
        <f>IF(T$10=0,0,IF('Regulação de polinização'!J114&gt;0,'Regulação de polinização'!J114,TRUNC(IF(T$11=0,$O22,IF(T$11&lt;0,$O22*(1+(-T$11*0.232)),$O22/(1+(T$11*0.232)))))))</f>
        <v>#N/A</v>
      </c>
      <c r="U22" s="1176" t="e">
        <f>IF(U$10=0,0,IF('Regulação de polinização'!K114&gt;0,'Regulação de polinização'!K114,TRUNC(IF(U$11=0,$O22,IF(U$11&lt;0,$O22*(1+(-U$11*0.232)),$O22/(1+(U$11*0.232)))))))</f>
        <v>#N/A</v>
      </c>
      <c r="V22" s="1176" t="e">
        <f>IF(V$10=0,0,IF('Regulação de polinização'!L114&gt;0,'Regulação de polinização'!L114,TRUNC(IF(V$11=0,$O22,IF(V$11&lt;0,$O22*(1+(-V$11*0.232)),$O22/(1+(V$11*0.232)))))))</f>
        <v>#N/A</v>
      </c>
      <c r="W22" s="1176" t="e">
        <f>IF(W$10=0,0,IF('Regulação de polinização'!M114&gt;0,'Regulação de polinização'!M114,TRUNC(IF(W$11=0,$O22,IF(W$11&lt;0,$O22*(1+(-W$11*0.232)),$O22/(1+(W$11*0.232)))))))</f>
        <v>#N/A</v>
      </c>
      <c r="X22" s="1176" t="e">
        <f>IF(X$10=0,0,IF('Regulação de polinização'!N114&gt;0,'Regulação de polinização'!N114,TRUNC(IF(X$11=0,$O22,IF(X$11&lt;0,$O22*(1+(-X$11*0.232)),$O22/(1+(X$11*0.232)))))))</f>
        <v>#N/A</v>
      </c>
      <c r="Y22" s="1176" t="e">
        <f>IF(Y$10=0,0,IF('Regulação de polinização'!O114&gt;0,'Regulação de polinização'!O114,TRUNC(IF(Y$11=0,$O22,IF(Y$11&lt;0,$O22*(1+(-Y$11*0.232)),$O22/(1+(Y$11*0.232)))))))</f>
        <v>#N/A</v>
      </c>
      <c r="Z22" s="1176" t="e">
        <f>IF(Z$10=0,0,IF('Regulação de polinização'!P114&gt;0,'Regulação de polinização'!P114,TRUNC(IF(Z$11=0,$O22,IF(Z$11&lt;0,$O22*(1+(-Z$11*0.232)),$O22/(1+(Z$11*0.232)))))))</f>
        <v>#N/A</v>
      </c>
      <c r="AA22" s="1177" t="e">
        <f>IF('Regulação de polinização'!Q114&gt;0,'Regulação de polinização'!Q114,VLOOKUP(N22,'Apoio Regulação de Polinização'!$AD$9:$AH$70,4,FALSE))</f>
        <v>#N/A</v>
      </c>
      <c r="AB22" s="1132"/>
      <c r="AC22" s="1132"/>
      <c r="AD22" s="1192" t="s">
        <v>849</v>
      </c>
      <c r="AE22" s="1193" t="s">
        <v>830</v>
      </c>
      <c r="AF22" s="1194">
        <v>3.6</v>
      </c>
      <c r="AG22" s="1195">
        <v>3.4</v>
      </c>
      <c r="AH22" s="1193">
        <v>1</v>
      </c>
      <c r="AI22" s="1134"/>
      <c r="AJ22" s="1134"/>
    </row>
    <row r="23" spans="2:36" x14ac:dyDescent="0.25">
      <c r="B23" s="575" t="s">
        <v>850</v>
      </c>
      <c r="C23" s="1122" t="s">
        <v>851</v>
      </c>
      <c r="D23" s="758" t="s">
        <v>723</v>
      </c>
      <c r="E23" s="758" t="s">
        <v>723</v>
      </c>
      <c r="F23" s="758">
        <v>7</v>
      </c>
      <c r="G23" s="1120">
        <f t="shared" si="1"/>
        <v>350000</v>
      </c>
      <c r="H23" s="758">
        <v>5</v>
      </c>
      <c r="I23" s="758" t="s">
        <v>723</v>
      </c>
      <c r="J23" s="758" t="s">
        <v>723</v>
      </c>
      <c r="K23" s="196"/>
      <c r="N23" s="1169">
        <f>'Regulação de polinização'!C115</f>
        <v>0</v>
      </c>
      <c r="O23" s="1176">
        <f>'Regulação de polinização'!E115</f>
        <v>0</v>
      </c>
      <c r="P23" s="1176" t="e">
        <f>IF(P$10=0,0,IF('Regulação de polinização'!F115&gt;0,'Regulação de polinização'!F115,TRUNC(IF(P$11=0,$O23,IF(P$11&lt;0,$O23*(1+(-P$11*0.232)),$O23/(1+(P$11*0.232)))))))</f>
        <v>#N/A</v>
      </c>
      <c r="Q23" s="1176" t="e">
        <f>IF(Q$10=0,0,IF('Regulação de polinização'!G115&gt;0,'Regulação de polinização'!G115,TRUNC(IF(Q$11=0,$O23,IF(Q$11&lt;0,$O23*(1+(-Q$11*0.232)),$O23/(1+(Q$11*0.232)))))))</f>
        <v>#N/A</v>
      </c>
      <c r="R23" s="1176" t="e">
        <f>IF(R$10=0,0,IF('Regulação de polinização'!H115&gt;0,'Regulação de polinização'!H115,TRUNC(IF(R$11=0,$O23,IF(R$11&lt;0,$O23*(1+(-R$11*0.232)),$O23/(1+(R$11*0.232)))))))</f>
        <v>#N/A</v>
      </c>
      <c r="S23" s="1176" t="e">
        <f>IF(S$10=0,0,IF('Regulação de polinização'!I115&gt;0,'Regulação de polinização'!I115,TRUNC(IF(S$11=0,$O23,IF(S$11&lt;0,$O23*(1+(-S$11*0.232)),$O23/(1+(S$11*0.232)))))))</f>
        <v>#N/A</v>
      </c>
      <c r="T23" s="1176" t="e">
        <f>IF(T$10=0,0,IF('Regulação de polinização'!J115&gt;0,'Regulação de polinização'!J115,TRUNC(IF(T$11=0,$O23,IF(T$11&lt;0,$O23*(1+(-T$11*0.232)),$O23/(1+(T$11*0.232)))))))</f>
        <v>#N/A</v>
      </c>
      <c r="U23" s="1176" t="e">
        <f>IF(U$10=0,0,IF('Regulação de polinização'!K115&gt;0,'Regulação de polinização'!K115,TRUNC(IF(U$11=0,$O23,IF(U$11&lt;0,$O23*(1+(-U$11*0.232)),$O23/(1+(U$11*0.232)))))))</f>
        <v>#N/A</v>
      </c>
      <c r="V23" s="1176" t="e">
        <f>IF(V$10=0,0,IF('Regulação de polinização'!L115&gt;0,'Regulação de polinização'!L115,TRUNC(IF(V$11=0,$O23,IF(V$11&lt;0,$O23*(1+(-V$11*0.232)),$O23/(1+(V$11*0.232)))))))</f>
        <v>#N/A</v>
      </c>
      <c r="W23" s="1176" t="e">
        <f>IF(W$10=0,0,IF('Regulação de polinização'!M115&gt;0,'Regulação de polinização'!M115,TRUNC(IF(W$11=0,$O23,IF(W$11&lt;0,$O23*(1+(-W$11*0.232)),$O23/(1+(W$11*0.232)))))))</f>
        <v>#N/A</v>
      </c>
      <c r="X23" s="1176" t="e">
        <f>IF(X$10=0,0,IF('Regulação de polinização'!N115&gt;0,'Regulação de polinização'!N115,TRUNC(IF(X$11=0,$O23,IF(X$11&lt;0,$O23*(1+(-X$11*0.232)),$O23/(1+(X$11*0.232)))))))</f>
        <v>#N/A</v>
      </c>
      <c r="Y23" s="1176" t="e">
        <f>IF(Y$10=0,0,IF('Regulação de polinização'!O115&gt;0,'Regulação de polinização'!O115,TRUNC(IF(Y$11=0,$O23,IF(Y$11&lt;0,$O23*(1+(-Y$11*0.232)),$O23/(1+(Y$11*0.232)))))))</f>
        <v>#N/A</v>
      </c>
      <c r="Z23" s="1176" t="e">
        <f>IF(Z$10=0,0,IF('Regulação de polinização'!P115&gt;0,'Regulação de polinização'!P115,TRUNC(IF(Z$11=0,$O23,IF(Z$11&lt;0,$O23*(1+(-Z$11*0.232)),$O23/(1+(Z$11*0.232)))))))</f>
        <v>#N/A</v>
      </c>
      <c r="AA23" s="1177" t="e">
        <f>IF('Regulação de polinização'!Q115&gt;0,'Regulação de polinização'!Q115,VLOOKUP(N23,'Apoio Regulação de Polinização'!$AD$9:$AH$70,4,FALSE))</f>
        <v>#N/A</v>
      </c>
      <c r="AB23" s="1132"/>
      <c r="AC23" s="1132"/>
      <c r="AD23" s="1192" t="s">
        <v>852</v>
      </c>
      <c r="AE23" s="1193" t="s">
        <v>830</v>
      </c>
      <c r="AF23" s="1194">
        <v>3.1</v>
      </c>
      <c r="AG23" s="1195">
        <v>2</v>
      </c>
      <c r="AH23" s="1193">
        <v>1</v>
      </c>
      <c r="AI23" s="1134"/>
      <c r="AJ23" s="1134"/>
    </row>
    <row r="24" spans="2:36" x14ac:dyDescent="0.25">
      <c r="B24" s="575" t="s">
        <v>853</v>
      </c>
      <c r="C24" s="1122" t="s">
        <v>854</v>
      </c>
      <c r="D24" s="1119">
        <v>0.56000000000000005</v>
      </c>
      <c r="E24" s="758">
        <v>7</v>
      </c>
      <c r="F24" s="758">
        <v>3</v>
      </c>
      <c r="G24" s="1120">
        <f t="shared" si="1"/>
        <v>150000</v>
      </c>
      <c r="H24" s="758">
        <v>5</v>
      </c>
      <c r="I24" s="758" t="s">
        <v>723</v>
      </c>
      <c r="J24" s="758" t="s">
        <v>723</v>
      </c>
      <c r="K24" s="196"/>
      <c r="N24" s="1169">
        <f>'Regulação de polinização'!C116</f>
        <v>0</v>
      </c>
      <c r="O24" s="1176">
        <f>'Regulação de polinização'!E116</f>
        <v>0</v>
      </c>
      <c r="P24" s="1176" t="e">
        <f>IF(P$10=0,0,IF('Regulação de polinização'!F116&gt;0,'Regulação de polinização'!F116,TRUNC(IF(P$11=0,$O24,IF(P$11&lt;0,$O24*(1+(-P$11*0.232)),$O24/(1+(P$11*0.232)))))))</f>
        <v>#N/A</v>
      </c>
      <c r="Q24" s="1176" t="e">
        <f>IF(Q$10=0,0,IF('Regulação de polinização'!G116&gt;0,'Regulação de polinização'!G116,TRUNC(IF(Q$11=0,$O24,IF(Q$11&lt;0,$O24*(1+(-Q$11*0.232)),$O24/(1+(Q$11*0.232)))))))</f>
        <v>#N/A</v>
      </c>
      <c r="R24" s="1176" t="e">
        <f>IF(R$10=0,0,IF('Regulação de polinização'!H116&gt;0,'Regulação de polinização'!H116,TRUNC(IF(R$11=0,$O24,IF(R$11&lt;0,$O24*(1+(-R$11*0.232)),$O24/(1+(R$11*0.232)))))))</f>
        <v>#N/A</v>
      </c>
      <c r="S24" s="1176" t="e">
        <f>IF(S$10=0,0,IF('Regulação de polinização'!I116&gt;0,'Regulação de polinização'!I116,TRUNC(IF(S$11=0,$O24,IF(S$11&lt;0,$O24*(1+(-S$11*0.232)),$O24/(1+(S$11*0.232)))))))</f>
        <v>#N/A</v>
      </c>
      <c r="T24" s="1176" t="e">
        <f>IF(T$10=0,0,IF('Regulação de polinização'!J116&gt;0,'Regulação de polinização'!J116,TRUNC(IF(T$11=0,$O24,IF(T$11&lt;0,$O24*(1+(-T$11*0.232)),$O24/(1+(T$11*0.232)))))))</f>
        <v>#N/A</v>
      </c>
      <c r="U24" s="1176" t="e">
        <f>IF(U$10=0,0,IF('Regulação de polinização'!K116&gt;0,'Regulação de polinização'!K116,TRUNC(IF(U$11=0,$O24,IF(U$11&lt;0,$O24*(1+(-U$11*0.232)),$O24/(1+(U$11*0.232)))))))</f>
        <v>#N/A</v>
      </c>
      <c r="V24" s="1176" t="e">
        <f>IF(V$10=0,0,IF('Regulação de polinização'!L116&gt;0,'Regulação de polinização'!L116,TRUNC(IF(V$11=0,$O24,IF(V$11&lt;0,$O24*(1+(-V$11*0.232)),$O24/(1+(V$11*0.232)))))))</f>
        <v>#N/A</v>
      </c>
      <c r="W24" s="1176" t="e">
        <f>IF(W$10=0,0,IF('Regulação de polinização'!M116&gt;0,'Regulação de polinização'!M116,TRUNC(IF(W$11=0,$O24,IF(W$11&lt;0,$O24*(1+(-W$11*0.232)),$O24/(1+(W$11*0.232)))))))</f>
        <v>#N/A</v>
      </c>
      <c r="X24" s="1176" t="e">
        <f>IF(X$10=0,0,IF('Regulação de polinização'!N116&gt;0,'Regulação de polinização'!N116,TRUNC(IF(X$11=0,$O24,IF(X$11&lt;0,$O24*(1+(-X$11*0.232)),$O24/(1+(X$11*0.232)))))))</f>
        <v>#N/A</v>
      </c>
      <c r="Y24" s="1176" t="e">
        <f>IF(Y$10=0,0,IF('Regulação de polinização'!O116&gt;0,'Regulação de polinização'!O116,TRUNC(IF(Y$11=0,$O24,IF(Y$11&lt;0,$O24*(1+(-Y$11*0.232)),$O24/(1+(Y$11*0.232)))))))</f>
        <v>#N/A</v>
      </c>
      <c r="Z24" s="1176" t="e">
        <f>IF(Z$10=0,0,IF('Regulação de polinização'!P116&gt;0,'Regulação de polinização'!P116,TRUNC(IF(Z$11=0,$O24,IF(Z$11&lt;0,$O24*(1+(-Z$11*0.232)),$O24/(1+(Z$11*0.232)))))))</f>
        <v>#N/A</v>
      </c>
      <c r="AA24" s="1177" t="e">
        <f>IF('Regulação de polinização'!Q116&gt;0,'Regulação de polinização'!Q116,VLOOKUP(N24,'Apoio Regulação de Polinização'!$AD$9:$AH$70,4,FALSE))</f>
        <v>#N/A</v>
      </c>
      <c r="AB24" s="1132"/>
      <c r="AC24" s="1132"/>
      <c r="AD24" s="1192" t="s">
        <v>855</v>
      </c>
      <c r="AE24" s="1193" t="s">
        <v>830</v>
      </c>
      <c r="AF24" s="1194">
        <v>5.2</v>
      </c>
      <c r="AG24" s="1195">
        <v>11.1</v>
      </c>
      <c r="AH24" s="1193">
        <v>1</v>
      </c>
      <c r="AI24" s="1134"/>
      <c r="AJ24" s="1134"/>
    </row>
    <row r="25" spans="2:36" x14ac:dyDescent="0.25">
      <c r="B25" s="575" t="s">
        <v>856</v>
      </c>
      <c r="C25" s="1125" t="s">
        <v>857</v>
      </c>
      <c r="D25" s="1119">
        <v>1</v>
      </c>
      <c r="E25" s="758">
        <v>7</v>
      </c>
      <c r="F25" s="758">
        <v>8</v>
      </c>
      <c r="G25" s="1120">
        <f t="shared" si="1"/>
        <v>400000</v>
      </c>
      <c r="H25" s="758">
        <v>5</v>
      </c>
      <c r="I25" s="758" t="s">
        <v>723</v>
      </c>
      <c r="J25" s="758" t="s">
        <v>723</v>
      </c>
      <c r="K25" s="196"/>
      <c r="N25" s="1169">
        <f>'Regulação de polinização'!C117</f>
        <v>0</v>
      </c>
      <c r="O25" s="1176">
        <f>'Regulação de polinização'!E117</f>
        <v>0</v>
      </c>
      <c r="P25" s="1176" t="e">
        <f>IF(P$10=0,0,IF('Regulação de polinização'!F117&gt;0,'Regulação de polinização'!F117,TRUNC(IF(P$11=0,$O25,IF(P$11&lt;0,$O25*(1+(-P$11*0.232)),$O25/(1+(P$11*0.232)))))))</f>
        <v>#N/A</v>
      </c>
      <c r="Q25" s="1176" t="e">
        <f>IF(Q$10=0,0,IF('Regulação de polinização'!G117&gt;0,'Regulação de polinização'!G117,TRUNC(IF(Q$11=0,$O25,IF(Q$11&lt;0,$O25*(1+(-Q$11*0.232)),$O25/(1+(Q$11*0.232)))))))</f>
        <v>#N/A</v>
      </c>
      <c r="R25" s="1176" t="e">
        <f>IF(R$10=0,0,IF('Regulação de polinização'!H117&gt;0,'Regulação de polinização'!H117,TRUNC(IF(R$11=0,$O25,IF(R$11&lt;0,$O25*(1+(-R$11*0.232)),$O25/(1+(R$11*0.232)))))))</f>
        <v>#N/A</v>
      </c>
      <c r="S25" s="1176" t="e">
        <f>IF(S$10=0,0,IF('Regulação de polinização'!I117&gt;0,'Regulação de polinização'!I117,TRUNC(IF(S$11=0,$O25,IF(S$11&lt;0,$O25*(1+(-S$11*0.232)),$O25/(1+(S$11*0.232)))))))</f>
        <v>#N/A</v>
      </c>
      <c r="T25" s="1176" t="e">
        <f>IF(T$10=0,0,IF('Regulação de polinização'!J117&gt;0,'Regulação de polinização'!J117,TRUNC(IF(T$11=0,$O25,IF(T$11&lt;0,$O25*(1+(-T$11*0.232)),$O25/(1+(T$11*0.232)))))))</f>
        <v>#N/A</v>
      </c>
      <c r="U25" s="1176" t="e">
        <f>IF(U$10=0,0,IF('Regulação de polinização'!K117&gt;0,'Regulação de polinização'!K117,TRUNC(IF(U$11=0,$O25,IF(U$11&lt;0,$O25*(1+(-U$11*0.232)),$O25/(1+(U$11*0.232)))))))</f>
        <v>#N/A</v>
      </c>
      <c r="V25" s="1176" t="e">
        <f>IF(V$10=0,0,IF('Regulação de polinização'!L117&gt;0,'Regulação de polinização'!L117,TRUNC(IF(V$11=0,$O25,IF(V$11&lt;0,$O25*(1+(-V$11*0.232)),$O25/(1+(V$11*0.232)))))))</f>
        <v>#N/A</v>
      </c>
      <c r="W25" s="1176" t="e">
        <f>IF(W$10=0,0,IF('Regulação de polinização'!M117&gt;0,'Regulação de polinização'!M117,TRUNC(IF(W$11=0,$O25,IF(W$11&lt;0,$O25*(1+(-W$11*0.232)),$O25/(1+(W$11*0.232)))))))</f>
        <v>#N/A</v>
      </c>
      <c r="X25" s="1176" t="e">
        <f>IF(X$10=0,0,IF('Regulação de polinização'!N117&gt;0,'Regulação de polinização'!N117,TRUNC(IF(X$11=0,$O25,IF(X$11&lt;0,$O25*(1+(-X$11*0.232)),$O25/(1+(X$11*0.232)))))))</f>
        <v>#N/A</v>
      </c>
      <c r="Y25" s="1176" t="e">
        <f>IF(Y$10=0,0,IF('Regulação de polinização'!O117&gt;0,'Regulação de polinização'!O117,TRUNC(IF(Y$11=0,$O25,IF(Y$11&lt;0,$O25*(1+(-Y$11*0.232)),$O25/(1+(Y$11*0.232)))))))</f>
        <v>#N/A</v>
      </c>
      <c r="Z25" s="1176" t="e">
        <f>IF(Z$10=0,0,IF('Regulação de polinização'!P117&gt;0,'Regulação de polinização'!P117,TRUNC(IF(Z$11=0,$O25,IF(Z$11&lt;0,$O25*(1+(-Z$11*0.232)),$O25/(1+(Z$11*0.232)))))))</f>
        <v>#N/A</v>
      </c>
      <c r="AA25" s="1177" t="e">
        <f>IF('Regulação de polinização'!Q117&gt;0,'Regulação de polinização'!Q117,VLOOKUP(N25,'Apoio Regulação de Polinização'!$AD$9:$AH$70,4,FALSE))</f>
        <v>#N/A</v>
      </c>
      <c r="AB25" s="1132"/>
      <c r="AC25" s="1132"/>
      <c r="AD25" s="1192" t="s">
        <v>858</v>
      </c>
      <c r="AE25" s="1193" t="s">
        <v>830</v>
      </c>
      <c r="AF25" s="1194">
        <v>5.0999999999999996</v>
      </c>
      <c r="AG25" s="1195">
        <v>10.4</v>
      </c>
      <c r="AH25" s="1193">
        <v>1</v>
      </c>
      <c r="AI25" s="1134"/>
      <c r="AJ25" s="1134"/>
    </row>
    <row r="26" spans="2:36" x14ac:dyDescent="0.25">
      <c r="B26" s="575" t="s">
        <v>859</v>
      </c>
      <c r="C26" s="1122" t="s">
        <v>860</v>
      </c>
      <c r="D26" s="1119">
        <v>0.05</v>
      </c>
      <c r="E26" s="758">
        <v>7</v>
      </c>
      <c r="F26" s="758">
        <v>15</v>
      </c>
      <c r="G26" s="1120">
        <f t="shared" si="1"/>
        <v>750000</v>
      </c>
      <c r="H26" s="758">
        <v>5</v>
      </c>
      <c r="I26" s="758" t="s">
        <v>723</v>
      </c>
      <c r="J26" s="758" t="s">
        <v>723</v>
      </c>
      <c r="K26" s="196"/>
      <c r="N26" s="1169">
        <f>'Regulação de polinização'!C118</f>
        <v>0</v>
      </c>
      <c r="O26" s="1176">
        <f>'Regulação de polinização'!E118</f>
        <v>0</v>
      </c>
      <c r="P26" s="1176" t="e">
        <f>IF(P$10=0,0,IF('Regulação de polinização'!F118&gt;0,'Regulação de polinização'!F118,TRUNC(IF(P$11=0,$O26,IF(P$11&lt;0,$O26*(1+(-P$11*0.232)),$O26/(1+(P$11*0.232)))))))</f>
        <v>#N/A</v>
      </c>
      <c r="Q26" s="1176" t="e">
        <f>IF(Q$10=0,0,IF('Regulação de polinização'!G118&gt;0,'Regulação de polinização'!G118,TRUNC(IF(Q$11=0,$O26,IF(Q$11&lt;0,$O26*(1+(-Q$11*0.232)),$O26/(1+(Q$11*0.232)))))))</f>
        <v>#N/A</v>
      </c>
      <c r="R26" s="1176" t="e">
        <f>IF(R$10=0,0,IF('Regulação de polinização'!H118&gt;0,'Regulação de polinização'!H118,TRUNC(IF(R$11=0,$O26,IF(R$11&lt;0,$O26*(1+(-R$11*0.232)),$O26/(1+(R$11*0.232)))))))</f>
        <v>#N/A</v>
      </c>
      <c r="S26" s="1176" t="e">
        <f>IF(S$10=0,0,IF('Regulação de polinização'!I118&gt;0,'Regulação de polinização'!I118,TRUNC(IF(S$11=0,$O26,IF(S$11&lt;0,$O26*(1+(-S$11*0.232)),$O26/(1+(S$11*0.232)))))))</f>
        <v>#N/A</v>
      </c>
      <c r="T26" s="1176" t="e">
        <f>IF(T$10=0,0,IF('Regulação de polinização'!J118&gt;0,'Regulação de polinização'!J118,TRUNC(IF(T$11=0,$O26,IF(T$11&lt;0,$O26*(1+(-T$11*0.232)),$O26/(1+(T$11*0.232)))))))</f>
        <v>#N/A</v>
      </c>
      <c r="U26" s="1176" t="e">
        <f>IF(U$10=0,0,IF('Regulação de polinização'!K118&gt;0,'Regulação de polinização'!K118,TRUNC(IF(U$11=0,$O26,IF(U$11&lt;0,$O26*(1+(-U$11*0.232)),$O26/(1+(U$11*0.232)))))))</f>
        <v>#N/A</v>
      </c>
      <c r="V26" s="1176" t="e">
        <f>IF(V$10=0,0,IF('Regulação de polinização'!L118&gt;0,'Regulação de polinização'!L118,TRUNC(IF(V$11=0,$O26,IF(V$11&lt;0,$O26*(1+(-V$11*0.232)),$O26/(1+(V$11*0.232)))))))</f>
        <v>#N/A</v>
      </c>
      <c r="W26" s="1176" t="e">
        <f>IF(W$10=0,0,IF('Regulação de polinização'!M118&gt;0,'Regulação de polinização'!M118,TRUNC(IF(W$11=0,$O26,IF(W$11&lt;0,$O26*(1+(-W$11*0.232)),$O26/(1+(W$11*0.232)))))))</f>
        <v>#N/A</v>
      </c>
      <c r="X26" s="1176" t="e">
        <f>IF(X$10=0,0,IF('Regulação de polinização'!N118&gt;0,'Regulação de polinização'!N118,TRUNC(IF(X$11=0,$O26,IF(X$11&lt;0,$O26*(1+(-X$11*0.232)),$O26/(1+(X$11*0.232)))))))</f>
        <v>#N/A</v>
      </c>
      <c r="Y26" s="1176" t="e">
        <f>IF(Y$10=0,0,IF('Regulação de polinização'!O118&gt;0,'Regulação de polinização'!O118,TRUNC(IF(Y$11=0,$O26,IF(Y$11&lt;0,$O26*(1+(-Y$11*0.232)),$O26/(1+(Y$11*0.232)))))))</f>
        <v>#N/A</v>
      </c>
      <c r="Z26" s="1176" t="e">
        <f>IF(Z$10=0,0,IF('Regulação de polinização'!P118&gt;0,'Regulação de polinização'!P118,TRUNC(IF(Z$11=0,$O26,IF(Z$11&lt;0,$O26*(1+(-Z$11*0.232)),$O26/(1+(Z$11*0.232)))))))</f>
        <v>#N/A</v>
      </c>
      <c r="AA26" s="1177" t="e">
        <f>IF('Regulação de polinização'!Q118&gt;0,'Regulação de polinização'!Q118,VLOOKUP(N26,'Apoio Regulação de Polinização'!$AD$9:$AH$70,4,FALSE))</f>
        <v>#N/A</v>
      </c>
      <c r="AB26" s="1132"/>
      <c r="AC26" s="1132"/>
      <c r="AD26" s="1192" t="s">
        <v>861</v>
      </c>
      <c r="AE26" s="1193" t="s">
        <v>830</v>
      </c>
      <c r="AF26" s="1194">
        <v>3.5</v>
      </c>
      <c r="AG26" s="1195">
        <v>3</v>
      </c>
      <c r="AH26" s="1193">
        <v>1</v>
      </c>
      <c r="AI26" s="1134"/>
      <c r="AJ26" s="1134"/>
    </row>
    <row r="27" spans="2:36" ht="15.75" thickBot="1" x14ac:dyDescent="0.3">
      <c r="B27" s="575" t="s">
        <v>862</v>
      </c>
      <c r="C27" s="1122" t="s">
        <v>863</v>
      </c>
      <c r="D27" s="758" t="s">
        <v>723</v>
      </c>
      <c r="E27" s="758" t="s">
        <v>723</v>
      </c>
      <c r="F27" s="758">
        <v>4</v>
      </c>
      <c r="G27" s="1120">
        <f t="shared" si="1"/>
        <v>200000</v>
      </c>
      <c r="H27" s="758">
        <v>5</v>
      </c>
      <c r="I27" s="758" t="s">
        <v>723</v>
      </c>
      <c r="J27" s="758" t="s">
        <v>723</v>
      </c>
      <c r="K27" s="196"/>
      <c r="N27" s="1171">
        <f>'Regulação de polinização'!C119</f>
        <v>0</v>
      </c>
      <c r="O27" s="1178">
        <f>'Regulação de polinização'!E119</f>
        <v>0</v>
      </c>
      <c r="P27" s="1178" t="e">
        <f>IF(P$10=0,0,IF('Regulação de polinização'!F119&gt;0,'Regulação de polinização'!F119,TRUNC(IF(P$11=0,$O27,IF(P$11&lt;0,$O27*(1+(-P$11*0.232)),$O27/(1+(P$11*0.232)))))))</f>
        <v>#N/A</v>
      </c>
      <c r="Q27" s="1178" t="e">
        <f>IF(Q$10=0,0,IF('Regulação de polinização'!G119&gt;0,'Regulação de polinização'!G119,TRUNC(IF(Q$11=0,$O27,IF(Q$11&lt;0,$O27*(1+(-Q$11*0.232)),$O27/(1+(Q$11*0.232)))))))</f>
        <v>#N/A</v>
      </c>
      <c r="R27" s="1178" t="e">
        <f>IF(R$10=0,0,IF('Regulação de polinização'!H119&gt;0,'Regulação de polinização'!H119,TRUNC(IF(R$11=0,$O27,IF(R$11&lt;0,$O27*(1+(-R$11*0.232)),$O27/(1+(R$11*0.232)))))))</f>
        <v>#N/A</v>
      </c>
      <c r="S27" s="1178" t="e">
        <f>IF(S$10=0,0,IF('Regulação de polinização'!I119&gt;0,'Regulação de polinização'!I119,TRUNC(IF(S$11=0,$O27,IF(S$11&lt;0,$O27*(1+(-S$11*0.232)),$O27/(1+(S$11*0.232)))))))</f>
        <v>#N/A</v>
      </c>
      <c r="T27" s="1178" t="e">
        <f>IF(T$10=0,0,IF('Regulação de polinização'!J119&gt;0,'Regulação de polinização'!J119,TRUNC(IF(T$11=0,$O27,IF(T$11&lt;0,$O27*(1+(-T$11*0.232)),$O27/(1+(T$11*0.232)))))))</f>
        <v>#N/A</v>
      </c>
      <c r="U27" s="1178" t="e">
        <f>IF(U$10=0,0,IF('Regulação de polinização'!K119&gt;0,'Regulação de polinização'!K119,TRUNC(IF(U$11=0,$O27,IF(U$11&lt;0,$O27*(1+(-U$11*0.232)),$O27/(1+(U$11*0.232)))))))</f>
        <v>#N/A</v>
      </c>
      <c r="V27" s="1178" t="e">
        <f>IF(V$10=0,0,IF('Regulação de polinização'!L119&gt;0,'Regulação de polinização'!L119,TRUNC(IF(V$11=0,$O27,IF(V$11&lt;0,$O27*(1+(-V$11*0.232)),$O27/(1+(V$11*0.232)))))))</f>
        <v>#N/A</v>
      </c>
      <c r="W27" s="1178" t="e">
        <f>IF(W$10=0,0,IF('Regulação de polinização'!M119&gt;0,'Regulação de polinização'!M119,TRUNC(IF(W$11=0,$O27,IF(W$11&lt;0,$O27*(1+(-W$11*0.232)),$O27/(1+(W$11*0.232)))))))</f>
        <v>#N/A</v>
      </c>
      <c r="X27" s="1178" t="e">
        <f>IF(X$10=0,0,IF('Regulação de polinização'!N119&gt;0,'Regulação de polinização'!N119,TRUNC(IF(X$11=0,$O27,IF(X$11&lt;0,$O27*(1+(-X$11*0.232)),$O27/(1+(X$11*0.232)))))))</f>
        <v>#N/A</v>
      </c>
      <c r="Y27" s="1178" t="e">
        <f>IF(Y$10=0,0,IF('Regulação de polinização'!O119&gt;0,'Regulação de polinização'!O119,TRUNC(IF(Y$11=0,$O27,IF(Y$11&lt;0,$O27*(1+(-Y$11*0.232)),$O27/(1+(Y$11*0.232)))))))</f>
        <v>#N/A</v>
      </c>
      <c r="Z27" s="1178" t="e">
        <f>IF(Z$10=0,0,IF('Regulação de polinização'!P119&gt;0,'Regulação de polinização'!P119,TRUNC(IF(Z$11=0,$O27,IF(Z$11&lt;0,$O27*(1+(-Z$11*0.232)),$O27/(1+(Z$11*0.232)))))))</f>
        <v>#N/A</v>
      </c>
      <c r="AA27" s="1177" t="e">
        <f>IF('Regulação de polinização'!Q119&gt;0,'Regulação de polinização'!Q119,VLOOKUP(N27,'Apoio Regulação de Polinização'!$AD$9:$AH$70,4,FALSE))</f>
        <v>#N/A</v>
      </c>
      <c r="AB27" s="1132"/>
      <c r="AC27" s="1132"/>
      <c r="AD27" s="1192" t="s">
        <v>864</v>
      </c>
      <c r="AE27" s="1193" t="s">
        <v>830</v>
      </c>
      <c r="AF27" s="1194">
        <v>2.2999999999999998</v>
      </c>
      <c r="AG27" s="1195">
        <v>0.7</v>
      </c>
      <c r="AH27" s="1193">
        <v>1</v>
      </c>
      <c r="AI27" s="1134"/>
      <c r="AJ27" s="1134"/>
    </row>
    <row r="28" spans="2:36" ht="15.75" thickTop="1" x14ac:dyDescent="0.25">
      <c r="B28" s="575" t="s">
        <v>1553</v>
      </c>
      <c r="C28" s="1122" t="s">
        <v>865</v>
      </c>
      <c r="D28" s="1119">
        <v>0.6</v>
      </c>
      <c r="E28" s="758">
        <v>7</v>
      </c>
      <c r="F28" s="758">
        <v>2</v>
      </c>
      <c r="G28" s="1120">
        <f t="shared" si="1"/>
        <v>100000</v>
      </c>
      <c r="H28" s="758">
        <v>5</v>
      </c>
      <c r="I28" s="758" t="s">
        <v>723</v>
      </c>
      <c r="J28" s="758" t="s">
        <v>723</v>
      </c>
      <c r="K28" s="196"/>
      <c r="N28" s="1169">
        <f>'Regulação de polinização'!C126</f>
        <v>0</v>
      </c>
      <c r="O28" s="1176">
        <f>'Regulação de polinização'!D126</f>
        <v>0</v>
      </c>
      <c r="P28" s="1176" t="e">
        <f>IF(P$10=0,0,IF('Regulação de polinização'!E126&gt;0,'Regulação de polinização'!E126,TRUNC(IF(P$11=0,$O28,IF(P$11&lt;0,$O28*(1+(-P$11*0.232)),$O28/(1+(P$11*0.232)))))))</f>
        <v>#N/A</v>
      </c>
      <c r="Q28" s="1176" t="e">
        <f>IF(Q$10=0,0,IF('Regulação de polinização'!F126&gt;0,'Regulação de polinização'!F126,TRUNC(IF(Q$11=0,$O28,IF(Q$11&lt;0,$O28*(1+(-Q$11*0.232)),$O28/(1+(Q$11*0.232)))))))</f>
        <v>#N/A</v>
      </c>
      <c r="R28" s="1176" t="e">
        <f>IF(R$10=0,0,IF('Regulação de polinização'!G126&gt;0,'Regulação de polinização'!G126,TRUNC(IF(R$11=0,$O28,IF(R$11&lt;0,$O28*(1+(-R$11*0.232)),$O28/(1+(R$11*0.232)))))))</f>
        <v>#N/A</v>
      </c>
      <c r="S28" s="1176" t="e">
        <f>IF(S$10=0,0,IF('Regulação de polinização'!H126&gt;0,'Regulação de polinização'!H126,TRUNC(IF(S$11=0,$O28,IF(S$11&lt;0,$O28*(1+(-S$11*0.232)),$O28/(1+(S$11*0.232)))))))</f>
        <v>#N/A</v>
      </c>
      <c r="T28" s="1176" t="e">
        <f>IF(T$10=0,0,IF('Regulação de polinização'!I126&gt;0,'Regulação de polinização'!I126,TRUNC(IF(T$11=0,$O28,IF(T$11&lt;0,$O28*(1+(-T$11*0.232)),$O28/(1+(T$11*0.232)))))))</f>
        <v>#N/A</v>
      </c>
      <c r="U28" s="1176" t="e">
        <f>IF(U$10=0,0,IF('Regulação de polinização'!J126&gt;0,'Regulação de polinização'!J126,TRUNC(IF(U$11=0,$O28,IF(U$11&lt;0,$O28*(1+(-U$11*0.232)),$O28/(1+(U$11*0.232)))))))</f>
        <v>#N/A</v>
      </c>
      <c r="V28" s="1176" t="e">
        <f>IF(V$10=0,0,IF('Regulação de polinização'!K126&gt;0,'Regulação de polinização'!K126,TRUNC(IF(V$11=0,$O28,IF(V$11&lt;0,$O28*(1+(-V$11*0.232)),$O28/(1+(V$11*0.232)))))))</f>
        <v>#N/A</v>
      </c>
      <c r="W28" s="1176" t="e">
        <f>IF(W$10=0,0,IF('Regulação de polinização'!L126&gt;0,'Regulação de polinização'!L126,TRUNC(IF(W$11=0,$O28,IF(W$11&lt;0,$O28*(1+(-W$11*0.232)),$O28/(1+(W$11*0.232)))))))</f>
        <v>#N/A</v>
      </c>
      <c r="X28" s="1176" t="e">
        <f>IF(X$10=0,0,IF('Regulação de polinização'!M126&gt;0,'Regulação de polinização'!M126,TRUNC(IF(X$11=0,$O28,IF(X$11&lt;0,$O28*(1+(-X$11*0.232)),$O28/(1+(X$11*0.232)))))))</f>
        <v>#N/A</v>
      </c>
      <c r="Y28" s="1176" t="e">
        <f>IF(Y$10=0,0,IF('Regulação de polinização'!N126&gt;0,'Regulação de polinização'!N126,TRUNC(IF(Y$11=0,$O28,IF(Y$11&lt;0,$O28*(1+(-Y$11*0.232)),$O28/(1+(Y$11*0.232)))))))</f>
        <v>#N/A</v>
      </c>
      <c r="Z28" s="1176" t="e">
        <f>IF(Z$10=0,0,IF('Regulação de polinização'!O126&gt;0,'Regulação de polinização'!O126,TRUNC(IF(Z$11=0,$O28,IF(Z$11&lt;0,$O28*(1+(-Z$11*0.232)),$O28/(1+(Z$11*0.232)))))))</f>
        <v>#N/A</v>
      </c>
      <c r="AA28" s="1179" t="e">
        <f>IF('Regulação de polinização'!P126&gt;0,'Regulação de polinização'!P126,10^(-1.363+3.366*LOG10('Regulação de polinização'!Q126)))</f>
        <v>#NUM!</v>
      </c>
      <c r="AB28" s="1133" t="s">
        <v>866</v>
      </c>
      <c r="AC28" s="1132"/>
      <c r="AD28" s="1192" t="s">
        <v>867</v>
      </c>
      <c r="AE28" s="1193" t="s">
        <v>868</v>
      </c>
      <c r="AF28" s="1194">
        <v>1.6</v>
      </c>
      <c r="AG28" s="1195">
        <v>0.2</v>
      </c>
      <c r="AH28" s="1193">
        <v>1</v>
      </c>
      <c r="AI28" s="1134"/>
      <c r="AJ28" s="1134"/>
    </row>
    <row r="29" spans="2:36" x14ac:dyDescent="0.25">
      <c r="B29" s="575" t="s">
        <v>869</v>
      </c>
      <c r="C29" s="1126" t="s">
        <v>723</v>
      </c>
      <c r="D29" s="1119">
        <v>0.69</v>
      </c>
      <c r="E29" s="758">
        <v>7</v>
      </c>
      <c r="F29" s="758">
        <v>2</v>
      </c>
      <c r="G29" s="1120">
        <f t="shared" si="1"/>
        <v>100000</v>
      </c>
      <c r="H29" s="758">
        <v>5</v>
      </c>
      <c r="I29" s="758" t="s">
        <v>723</v>
      </c>
      <c r="J29" s="758" t="s">
        <v>723</v>
      </c>
      <c r="K29" s="196"/>
      <c r="N29" s="1169">
        <f>'Regulação de polinização'!C127</f>
        <v>0</v>
      </c>
      <c r="O29" s="1176">
        <f>'Regulação de polinização'!D127</f>
        <v>0</v>
      </c>
      <c r="P29" s="1176" t="e">
        <f>IF(P$10=0,0,IF('Regulação de polinização'!E127&gt;0,'Regulação de polinização'!E127,TRUNC(IF(P$11=0,$O29,IF(P$11&lt;0,$O29*(1+(-P$11*0.232)),$O29/(1+(P$11*0.232)))))))</f>
        <v>#N/A</v>
      </c>
      <c r="Q29" s="1176" t="e">
        <f>IF(Q$10=0,0,IF('Regulação de polinização'!F127&gt;0,'Regulação de polinização'!F127,TRUNC(IF(Q$11=0,$O29,IF(Q$11&lt;0,$O29*(1+(-Q$11*0.232)),$O29/(1+(Q$11*0.232)))))))</f>
        <v>#N/A</v>
      </c>
      <c r="R29" s="1176" t="e">
        <f>IF(R$10=0,0,IF('Regulação de polinização'!G127&gt;0,'Regulação de polinização'!G127,TRUNC(IF(R$11=0,$O29,IF(R$11&lt;0,$O29*(1+(-R$11*0.232)),$O29/(1+(R$11*0.232)))))))</f>
        <v>#N/A</v>
      </c>
      <c r="S29" s="1176" t="e">
        <f>IF(S$10=0,0,IF('Regulação de polinização'!H127&gt;0,'Regulação de polinização'!H127,TRUNC(IF(S$11=0,$O29,IF(S$11&lt;0,$O29*(1+(-S$11*0.232)),$O29/(1+(S$11*0.232)))))))</f>
        <v>#N/A</v>
      </c>
      <c r="T29" s="1176" t="e">
        <f>IF(T$10=0,0,IF('Regulação de polinização'!I127&gt;0,'Regulação de polinização'!I127,TRUNC(IF(T$11=0,$O29,IF(T$11&lt;0,$O29*(1+(-T$11*0.232)),$O29/(1+(T$11*0.232)))))))</f>
        <v>#N/A</v>
      </c>
      <c r="U29" s="1176" t="e">
        <f>IF(U$10=0,0,IF('Regulação de polinização'!J127&gt;0,'Regulação de polinização'!J127,TRUNC(IF(U$11=0,$O29,IF(U$11&lt;0,$O29*(1+(-U$11*0.232)),$O29/(1+(U$11*0.232)))))))</f>
        <v>#N/A</v>
      </c>
      <c r="V29" s="1176" t="e">
        <f>IF(V$10=0,0,IF('Regulação de polinização'!K127&gt;0,'Regulação de polinização'!K127,TRUNC(IF(V$11=0,$O29,IF(V$11&lt;0,$O29*(1+(-V$11*0.232)),$O29/(1+(V$11*0.232)))))))</f>
        <v>#N/A</v>
      </c>
      <c r="W29" s="1176" t="e">
        <f>IF(W$10=0,0,IF('Regulação de polinização'!L127&gt;0,'Regulação de polinização'!L127,TRUNC(IF(W$11=0,$O29,IF(W$11&lt;0,$O29*(1+(-W$11*0.232)),$O29/(1+(W$11*0.232)))))))</f>
        <v>#N/A</v>
      </c>
      <c r="X29" s="1176" t="e">
        <f>IF(X$10=0,0,IF('Regulação de polinização'!M127&gt;0,'Regulação de polinização'!M127,TRUNC(IF(X$11=0,$O29,IF(X$11&lt;0,$O29*(1+(-X$11*0.232)),$O29/(1+(X$11*0.232)))))))</f>
        <v>#N/A</v>
      </c>
      <c r="Y29" s="1176" t="e">
        <f>IF(Y$10=0,0,IF('Regulação de polinização'!N127&gt;0,'Regulação de polinização'!N127,TRUNC(IF(Y$11=0,$O29,IF(Y$11&lt;0,$O29*(1+(-Y$11*0.232)),$O29/(1+(Y$11*0.232)))))))</f>
        <v>#N/A</v>
      </c>
      <c r="Z29" s="1176" t="e">
        <f>IF(Z$10=0,0,IF('Regulação de polinização'!O127&gt;0,'Regulação de polinização'!O127,TRUNC(IF(Z$11=0,$O29,IF(Z$11&lt;0,$O29*(1+(-Z$11*0.232)),$O29/(1+(Z$11*0.232)))))))</f>
        <v>#N/A</v>
      </c>
      <c r="AA29" s="1179" t="e">
        <f>IF('Regulação de polinização'!P127&gt;0,'Regulação de polinização'!P127,10^(-1.363+3.366*LOG10('Regulação de polinização'!Q127)))</f>
        <v>#NUM!</v>
      </c>
      <c r="AB29" s="1132"/>
      <c r="AC29" s="1132"/>
      <c r="AD29" s="1192" t="s">
        <v>870</v>
      </c>
      <c r="AE29" s="1193" t="s">
        <v>868</v>
      </c>
      <c r="AF29" s="1194">
        <v>1.5</v>
      </c>
      <c r="AG29" s="1195">
        <v>0.2</v>
      </c>
      <c r="AH29" s="1193">
        <v>1</v>
      </c>
      <c r="AI29" s="1134"/>
      <c r="AJ29" s="1134"/>
    </row>
    <row r="30" spans="2:36" x14ac:dyDescent="0.25">
      <c r="B30" s="575" t="s">
        <v>871</v>
      </c>
      <c r="C30" s="1122" t="s">
        <v>872</v>
      </c>
      <c r="D30" s="1119">
        <v>0.62</v>
      </c>
      <c r="E30" s="758">
        <v>7</v>
      </c>
      <c r="F30" s="758">
        <v>4</v>
      </c>
      <c r="G30" s="1120">
        <f t="shared" si="1"/>
        <v>200000</v>
      </c>
      <c r="H30" s="758">
        <v>5</v>
      </c>
      <c r="I30" s="758" t="s">
        <v>723</v>
      </c>
      <c r="J30" s="758" t="s">
        <v>723</v>
      </c>
      <c r="K30" s="196"/>
      <c r="N30" s="1169">
        <f>'Regulação de polinização'!C128</f>
        <v>0</v>
      </c>
      <c r="O30" s="1176">
        <f>'Regulação de polinização'!D128</f>
        <v>0</v>
      </c>
      <c r="P30" s="1176" t="e">
        <f>IF(P$10=0,0,IF('Regulação de polinização'!E128&gt;0,'Regulação de polinização'!E128,TRUNC(IF(P$11=0,$O30,IF(P$11&lt;0,$O30*(1+(-P$11*0.232)),$O30/(1+(P$11*0.232)))))))</f>
        <v>#N/A</v>
      </c>
      <c r="Q30" s="1176" t="e">
        <f>IF(Q$10=0,0,IF('Regulação de polinização'!F128&gt;0,'Regulação de polinização'!F128,TRUNC(IF(Q$11=0,$O30,IF(Q$11&lt;0,$O30*(1+(-Q$11*0.232)),$O30/(1+(Q$11*0.232)))))))</f>
        <v>#N/A</v>
      </c>
      <c r="R30" s="1176" t="e">
        <f>IF(R$10=0,0,IF('Regulação de polinização'!G128&gt;0,'Regulação de polinização'!G128,TRUNC(IF(R$11=0,$O30,IF(R$11&lt;0,$O30*(1+(-R$11*0.232)),$O30/(1+(R$11*0.232)))))))</f>
        <v>#N/A</v>
      </c>
      <c r="S30" s="1176" t="e">
        <f>IF(S$10=0,0,IF('Regulação de polinização'!H128&gt;0,'Regulação de polinização'!H128,TRUNC(IF(S$11=0,$O30,IF(S$11&lt;0,$O30*(1+(-S$11*0.232)),$O30/(1+(S$11*0.232)))))))</f>
        <v>#N/A</v>
      </c>
      <c r="T30" s="1176" t="e">
        <f>IF(T$10=0,0,IF('Regulação de polinização'!I128&gt;0,'Regulação de polinização'!I128,TRUNC(IF(T$11=0,$O30,IF(T$11&lt;0,$O30*(1+(-T$11*0.232)),$O30/(1+(T$11*0.232)))))))</f>
        <v>#N/A</v>
      </c>
      <c r="U30" s="1176" t="e">
        <f>IF(U$10=0,0,IF('Regulação de polinização'!J128&gt;0,'Regulação de polinização'!J128,TRUNC(IF(U$11=0,$O30,IF(U$11&lt;0,$O30*(1+(-U$11*0.232)),$O30/(1+(U$11*0.232)))))))</f>
        <v>#N/A</v>
      </c>
      <c r="V30" s="1176" t="e">
        <f>IF(V$10=0,0,IF('Regulação de polinização'!K128&gt;0,'Regulação de polinização'!K128,TRUNC(IF(V$11=0,$O30,IF(V$11&lt;0,$O30*(1+(-V$11*0.232)),$O30/(1+(V$11*0.232)))))))</f>
        <v>#N/A</v>
      </c>
      <c r="W30" s="1176" t="e">
        <f>IF(W$10=0,0,IF('Regulação de polinização'!L128&gt;0,'Regulação de polinização'!L128,TRUNC(IF(W$11=0,$O30,IF(W$11&lt;0,$O30*(1+(-W$11*0.232)),$O30/(1+(W$11*0.232)))))))</f>
        <v>#N/A</v>
      </c>
      <c r="X30" s="1176" t="e">
        <f>IF(X$10=0,0,IF('Regulação de polinização'!M128&gt;0,'Regulação de polinização'!M128,TRUNC(IF(X$11=0,$O30,IF(X$11&lt;0,$O30*(1+(-X$11*0.232)),$O30/(1+(X$11*0.232)))))))</f>
        <v>#N/A</v>
      </c>
      <c r="Y30" s="1176" t="e">
        <f>IF(Y$10=0,0,IF('Regulação de polinização'!N128&gt;0,'Regulação de polinização'!N128,TRUNC(IF(Y$11=0,$O30,IF(Y$11&lt;0,$O30*(1+(-Y$11*0.232)),$O30/(1+(Y$11*0.232)))))))</f>
        <v>#N/A</v>
      </c>
      <c r="Z30" s="1176" t="e">
        <f>IF(Z$10=0,0,IF('Regulação de polinização'!O128&gt;0,'Regulação de polinização'!O128,TRUNC(IF(Z$11=0,$O30,IF(Z$11&lt;0,$O30*(1+(-Z$11*0.232)),$O30/(1+(Z$11*0.232)))))))</f>
        <v>#N/A</v>
      </c>
      <c r="AA30" s="1179" t="e">
        <f>IF('Regulação de polinização'!P128&gt;0,'Regulação de polinização'!P128,10^(-1.363+3.366*LOG10('Regulação de polinização'!Q128)))</f>
        <v>#NUM!</v>
      </c>
      <c r="AB30" s="1132"/>
      <c r="AC30" s="1132"/>
      <c r="AD30" s="1192" t="s">
        <v>873</v>
      </c>
      <c r="AE30" s="1193" t="s">
        <v>874</v>
      </c>
      <c r="AF30" s="1196">
        <v>4</v>
      </c>
      <c r="AG30" s="1195">
        <v>4.5</v>
      </c>
      <c r="AH30" s="1193">
        <v>1</v>
      </c>
      <c r="AI30" s="1134"/>
      <c r="AJ30" s="1134"/>
    </row>
    <row r="31" spans="2:36" x14ac:dyDescent="0.25">
      <c r="B31" s="575" t="s">
        <v>1554</v>
      </c>
      <c r="C31" s="1122" t="s">
        <v>875</v>
      </c>
      <c r="D31" s="1119">
        <v>0.8</v>
      </c>
      <c r="E31" s="758">
        <v>7</v>
      </c>
      <c r="F31" s="758">
        <v>5</v>
      </c>
      <c r="G31" s="1120">
        <f t="shared" si="1"/>
        <v>250000</v>
      </c>
      <c r="H31" s="758">
        <v>7</v>
      </c>
      <c r="I31" s="758" t="s">
        <v>723</v>
      </c>
      <c r="J31" s="758" t="s">
        <v>723</v>
      </c>
      <c r="K31" s="196"/>
      <c r="N31" s="1169">
        <f>'Regulação de polinização'!C129</f>
        <v>0</v>
      </c>
      <c r="O31" s="1176">
        <f>'Regulação de polinização'!D129</f>
        <v>0</v>
      </c>
      <c r="P31" s="1176" t="e">
        <f>IF(P$10=0,0,IF('Regulação de polinização'!E129&gt;0,'Regulação de polinização'!E129,TRUNC(IF(P$11=0,$O31,IF(P$11&lt;0,$O31*(1+(-P$11*0.232)),$O31/(1+(P$11*0.232)))))))</f>
        <v>#N/A</v>
      </c>
      <c r="Q31" s="1176" t="e">
        <f>IF(Q$10=0,0,IF('Regulação de polinização'!F129&gt;0,'Regulação de polinização'!F129,TRUNC(IF(Q$11=0,$O31,IF(Q$11&lt;0,$O31*(1+(-Q$11*0.232)),$O31/(1+(Q$11*0.232)))))))</f>
        <v>#N/A</v>
      </c>
      <c r="R31" s="1176" t="e">
        <f>IF(R$10=0,0,IF('Regulação de polinização'!G129&gt;0,'Regulação de polinização'!G129,TRUNC(IF(R$11=0,$O31,IF(R$11&lt;0,$O31*(1+(-R$11*0.232)),$O31/(1+(R$11*0.232)))))))</f>
        <v>#N/A</v>
      </c>
      <c r="S31" s="1176" t="e">
        <f>IF(S$10=0,0,IF('Regulação de polinização'!H129&gt;0,'Regulação de polinização'!H129,TRUNC(IF(S$11=0,$O31,IF(S$11&lt;0,$O31*(1+(-S$11*0.232)),$O31/(1+(S$11*0.232)))))))</f>
        <v>#N/A</v>
      </c>
      <c r="T31" s="1176" t="e">
        <f>IF(T$10=0,0,IF('Regulação de polinização'!I129&gt;0,'Regulação de polinização'!I129,TRUNC(IF(T$11=0,$O31,IF(T$11&lt;0,$O31*(1+(-T$11*0.232)),$O31/(1+(T$11*0.232)))))))</f>
        <v>#N/A</v>
      </c>
      <c r="U31" s="1176" t="e">
        <f>IF(U$10=0,0,IF('Regulação de polinização'!J129&gt;0,'Regulação de polinização'!J129,TRUNC(IF(U$11=0,$O31,IF(U$11&lt;0,$O31*(1+(-U$11*0.232)),$O31/(1+(U$11*0.232)))))))</f>
        <v>#N/A</v>
      </c>
      <c r="V31" s="1176" t="e">
        <f>IF(V$10=0,0,IF('Regulação de polinização'!K129&gt;0,'Regulação de polinização'!K129,TRUNC(IF(V$11=0,$O31,IF(V$11&lt;0,$O31*(1+(-V$11*0.232)),$O31/(1+(V$11*0.232)))))))</f>
        <v>#N/A</v>
      </c>
      <c r="W31" s="1176" t="e">
        <f>IF(W$10=0,0,IF('Regulação de polinização'!L129&gt;0,'Regulação de polinização'!L129,TRUNC(IF(W$11=0,$O31,IF(W$11&lt;0,$O31*(1+(-W$11*0.232)),$O31/(1+(W$11*0.232)))))))</f>
        <v>#N/A</v>
      </c>
      <c r="X31" s="1176" t="e">
        <f>IF(X$10=0,0,IF('Regulação de polinização'!M129&gt;0,'Regulação de polinização'!M129,TRUNC(IF(X$11=0,$O31,IF(X$11&lt;0,$O31*(1+(-X$11*0.232)),$O31/(1+(X$11*0.232)))))))</f>
        <v>#N/A</v>
      </c>
      <c r="Y31" s="1176" t="e">
        <f>IF(Y$10=0,0,IF('Regulação de polinização'!N129&gt;0,'Regulação de polinização'!N129,TRUNC(IF(Y$11=0,$O31,IF(Y$11&lt;0,$O31*(1+(-Y$11*0.232)),$O31/(1+(Y$11*0.232)))))))</f>
        <v>#N/A</v>
      </c>
      <c r="Z31" s="1176" t="e">
        <f>IF(Z$10=0,0,IF('Regulação de polinização'!O129&gt;0,'Regulação de polinização'!O129,TRUNC(IF(Z$11=0,$O31,IF(Z$11&lt;0,$O31*(1+(-Z$11*0.232)),$O31/(1+(Z$11*0.232)))))))</f>
        <v>#N/A</v>
      </c>
      <c r="AA31" s="1179" t="e">
        <f>IF('Regulação de polinização'!P129&gt;0,'Regulação de polinização'!P129,10^(-1.363+3.366*LOG10('Regulação de polinização'!Q129)))</f>
        <v>#NUM!</v>
      </c>
      <c r="AB31" s="1132"/>
      <c r="AC31" s="1132"/>
      <c r="AD31" s="1197" t="s">
        <v>876</v>
      </c>
      <c r="AE31" s="1193" t="s">
        <v>877</v>
      </c>
      <c r="AF31" s="1194">
        <v>2.9</v>
      </c>
      <c r="AG31" s="1195">
        <v>4</v>
      </c>
      <c r="AH31" s="1198">
        <v>1</v>
      </c>
      <c r="AI31" s="1134"/>
      <c r="AJ31" s="1134"/>
    </row>
    <row r="32" spans="2:36" x14ac:dyDescent="0.25">
      <c r="B32" s="575" t="s">
        <v>878</v>
      </c>
      <c r="C32" s="1122" t="s">
        <v>879</v>
      </c>
      <c r="D32" s="1119">
        <v>1</v>
      </c>
      <c r="E32" s="758">
        <v>7</v>
      </c>
      <c r="F32" s="758">
        <v>2</v>
      </c>
      <c r="G32" s="1120">
        <f t="shared" si="1"/>
        <v>100000</v>
      </c>
      <c r="H32" s="758">
        <v>5</v>
      </c>
      <c r="I32" s="758" t="s">
        <v>723</v>
      </c>
      <c r="J32" s="758" t="s">
        <v>723</v>
      </c>
      <c r="K32" s="196"/>
      <c r="N32" s="1169">
        <f>'Regulação de polinização'!C130</f>
        <v>0</v>
      </c>
      <c r="O32" s="1176">
        <f>'Regulação de polinização'!D130</f>
        <v>0</v>
      </c>
      <c r="P32" s="1176" t="e">
        <f>IF(P$10=0,0,IF('Regulação de polinização'!E130&gt;0,'Regulação de polinização'!E130,TRUNC(IF(P$11=0,$O32,IF(P$11&lt;0,$O32*(1+(-P$11*0.232)),$O32/(1+(P$11*0.232)))))))</f>
        <v>#N/A</v>
      </c>
      <c r="Q32" s="1176" t="e">
        <f>IF(Q$10=0,0,IF('Regulação de polinização'!F130&gt;0,'Regulação de polinização'!F130,TRUNC(IF(Q$11=0,$O32,IF(Q$11&lt;0,$O32*(1+(-Q$11*0.232)),$O32/(1+(Q$11*0.232)))))))</f>
        <v>#N/A</v>
      </c>
      <c r="R32" s="1176" t="e">
        <f>IF(R$10=0,0,IF('Regulação de polinização'!G130&gt;0,'Regulação de polinização'!G130,TRUNC(IF(R$11=0,$O32,IF(R$11&lt;0,$O32*(1+(-R$11*0.232)),$O32/(1+(R$11*0.232)))))))</f>
        <v>#N/A</v>
      </c>
      <c r="S32" s="1176" t="e">
        <f>IF(S$10=0,0,IF('Regulação de polinização'!H130&gt;0,'Regulação de polinização'!H130,TRUNC(IF(S$11=0,$O32,IF(S$11&lt;0,$O32*(1+(-S$11*0.232)),$O32/(1+(S$11*0.232)))))))</f>
        <v>#N/A</v>
      </c>
      <c r="T32" s="1176" t="e">
        <f>IF(T$10=0,0,IF('Regulação de polinização'!I130&gt;0,'Regulação de polinização'!I130,TRUNC(IF(T$11=0,$O32,IF(T$11&lt;0,$O32*(1+(-T$11*0.232)),$O32/(1+(T$11*0.232)))))))</f>
        <v>#N/A</v>
      </c>
      <c r="U32" s="1176" t="e">
        <f>IF(U$10=0,0,IF('Regulação de polinização'!J130&gt;0,'Regulação de polinização'!J130,TRUNC(IF(U$11=0,$O32,IF(U$11&lt;0,$O32*(1+(-U$11*0.232)),$O32/(1+(U$11*0.232)))))))</f>
        <v>#N/A</v>
      </c>
      <c r="V32" s="1176" t="e">
        <f>IF(V$10=0,0,IF('Regulação de polinização'!K130&gt;0,'Regulação de polinização'!K130,TRUNC(IF(V$11=0,$O32,IF(V$11&lt;0,$O32*(1+(-V$11*0.232)),$O32/(1+(V$11*0.232)))))))</f>
        <v>#N/A</v>
      </c>
      <c r="W32" s="1176" t="e">
        <f>IF(W$10=0,0,IF('Regulação de polinização'!L130&gt;0,'Regulação de polinização'!L130,TRUNC(IF(W$11=0,$O32,IF(W$11&lt;0,$O32*(1+(-W$11*0.232)),$O32/(1+(W$11*0.232)))))))</f>
        <v>#N/A</v>
      </c>
      <c r="X32" s="1176" t="e">
        <f>IF(X$10=0,0,IF('Regulação de polinização'!M130&gt;0,'Regulação de polinização'!M130,TRUNC(IF(X$11=0,$O32,IF(X$11&lt;0,$O32*(1+(-X$11*0.232)),$O32/(1+(X$11*0.232)))))))</f>
        <v>#N/A</v>
      </c>
      <c r="Y32" s="1176" t="e">
        <f>IF(Y$10=0,0,IF('Regulação de polinização'!N130&gt;0,'Regulação de polinização'!N130,TRUNC(IF(Y$11=0,$O32,IF(Y$11&lt;0,$O32*(1+(-Y$11*0.232)),$O32/(1+(Y$11*0.232)))))))</f>
        <v>#N/A</v>
      </c>
      <c r="Z32" s="1176" t="e">
        <f>IF(Z$10=0,0,IF('Regulação de polinização'!O130&gt;0,'Regulação de polinização'!O130,TRUNC(IF(Z$11=0,$O32,IF(Z$11&lt;0,$O32*(1+(-Z$11*0.232)),$O32/(1+(Z$11*0.232)))))))</f>
        <v>#N/A</v>
      </c>
      <c r="AA32" s="1179" t="e">
        <f>IF('Regulação de polinização'!P130&gt;0,'Regulação de polinização'!P130,10^(-1.363+3.366*LOG10('Regulação de polinização'!Q130)))</f>
        <v>#NUM!</v>
      </c>
      <c r="AB32" s="1132"/>
      <c r="AC32" s="1132"/>
      <c r="AD32" s="1197" t="s">
        <v>880</v>
      </c>
      <c r="AE32" s="1193" t="s">
        <v>830</v>
      </c>
      <c r="AF32" s="1194">
        <v>5.6</v>
      </c>
      <c r="AG32" s="1195">
        <v>45.5</v>
      </c>
      <c r="AH32" s="1198">
        <v>1</v>
      </c>
      <c r="AI32" s="1134"/>
      <c r="AJ32" s="1134"/>
    </row>
    <row r="33" spans="2:36" x14ac:dyDescent="0.25">
      <c r="B33" s="575" t="s">
        <v>881</v>
      </c>
      <c r="C33" s="1122" t="s">
        <v>882</v>
      </c>
      <c r="D33" s="1119">
        <v>0.9</v>
      </c>
      <c r="E33" s="758">
        <v>7</v>
      </c>
      <c r="F33" s="758">
        <v>4</v>
      </c>
      <c r="G33" s="1120">
        <f t="shared" si="1"/>
        <v>200000</v>
      </c>
      <c r="H33" s="758">
        <v>6</v>
      </c>
      <c r="I33" s="758" t="s">
        <v>723</v>
      </c>
      <c r="J33" s="758" t="s">
        <v>723</v>
      </c>
      <c r="K33" s="196"/>
      <c r="N33" s="1169">
        <f>'Regulação de polinização'!C131</f>
        <v>0</v>
      </c>
      <c r="O33" s="1176">
        <f>'Regulação de polinização'!D131</f>
        <v>0</v>
      </c>
      <c r="P33" s="1176" t="e">
        <f>IF(P$10=0,0,IF('Regulação de polinização'!E131&gt;0,'Regulação de polinização'!E131,TRUNC(IF(P$11=0,$O33,IF(P$11&lt;0,$O33*(1+(-P$11*0.232)),$O33/(1+(P$11*0.232)))))))</f>
        <v>#N/A</v>
      </c>
      <c r="Q33" s="1176" t="e">
        <f>IF(Q$10=0,0,IF('Regulação de polinização'!F131&gt;0,'Regulação de polinização'!F131,TRUNC(IF(Q$11=0,$O33,IF(Q$11&lt;0,$O33*(1+(-Q$11*0.232)),$O33/(1+(Q$11*0.232)))))))</f>
        <v>#N/A</v>
      </c>
      <c r="R33" s="1176" t="e">
        <f>IF(R$10=0,0,IF('Regulação de polinização'!G131&gt;0,'Regulação de polinização'!G131,TRUNC(IF(R$11=0,$O33,IF(R$11&lt;0,$O33*(1+(-R$11*0.232)),$O33/(1+(R$11*0.232)))))))</f>
        <v>#N/A</v>
      </c>
      <c r="S33" s="1176" t="e">
        <f>IF(S$10=0,0,IF('Regulação de polinização'!H131&gt;0,'Regulação de polinização'!H131,TRUNC(IF(S$11=0,$O33,IF(S$11&lt;0,$O33*(1+(-S$11*0.232)),$O33/(1+(S$11*0.232)))))))</f>
        <v>#N/A</v>
      </c>
      <c r="T33" s="1176" t="e">
        <f>IF(T$10=0,0,IF('Regulação de polinização'!I131&gt;0,'Regulação de polinização'!I131,TRUNC(IF(T$11=0,$O33,IF(T$11&lt;0,$O33*(1+(-T$11*0.232)),$O33/(1+(T$11*0.232)))))))</f>
        <v>#N/A</v>
      </c>
      <c r="U33" s="1176" t="e">
        <f>IF(U$10=0,0,IF('Regulação de polinização'!J131&gt;0,'Regulação de polinização'!J131,TRUNC(IF(U$11=0,$O33,IF(U$11&lt;0,$O33*(1+(-U$11*0.232)),$O33/(1+(U$11*0.232)))))))</f>
        <v>#N/A</v>
      </c>
      <c r="V33" s="1176" t="e">
        <f>IF(V$10=0,0,IF('Regulação de polinização'!K131&gt;0,'Regulação de polinização'!K131,TRUNC(IF(V$11=0,$O33,IF(V$11&lt;0,$O33*(1+(-V$11*0.232)),$O33/(1+(V$11*0.232)))))))</f>
        <v>#N/A</v>
      </c>
      <c r="W33" s="1176" t="e">
        <f>IF(W$10=0,0,IF('Regulação de polinização'!L131&gt;0,'Regulação de polinização'!L131,TRUNC(IF(W$11=0,$O33,IF(W$11&lt;0,$O33*(1+(-W$11*0.232)),$O33/(1+(W$11*0.232)))))))</f>
        <v>#N/A</v>
      </c>
      <c r="X33" s="1176" t="e">
        <f>IF(X$10=0,0,IF('Regulação de polinização'!M131&gt;0,'Regulação de polinização'!M131,TRUNC(IF(X$11=0,$O33,IF(X$11&lt;0,$O33*(1+(-X$11*0.232)),$O33/(1+(X$11*0.232)))))))</f>
        <v>#N/A</v>
      </c>
      <c r="Y33" s="1176" t="e">
        <f>IF(Y$10=0,0,IF('Regulação de polinização'!N131&gt;0,'Regulação de polinização'!N131,TRUNC(IF(Y$11=0,$O33,IF(Y$11&lt;0,$O33*(1+(-Y$11*0.232)),$O33/(1+(Y$11*0.232)))))))</f>
        <v>#N/A</v>
      </c>
      <c r="Z33" s="1176" t="e">
        <f>IF(Z$10=0,0,IF('Regulação de polinização'!O131&gt;0,'Regulação de polinização'!O131,TRUNC(IF(Z$11=0,$O33,IF(Z$11&lt;0,$O33*(1+(-Z$11*0.232)),$O33/(1+(Z$11*0.232)))))))</f>
        <v>#N/A</v>
      </c>
      <c r="AA33" s="1179" t="e">
        <f>IF('Regulação de polinização'!P131&gt;0,'Regulação de polinização'!P131,10^(-1.363+3.366*LOG10('Regulação de polinização'!Q131)))</f>
        <v>#NUM!</v>
      </c>
      <c r="AB33" s="1132"/>
      <c r="AC33" s="1132"/>
      <c r="AD33" s="1192" t="s">
        <v>883</v>
      </c>
      <c r="AE33" s="1193" t="s">
        <v>830</v>
      </c>
      <c r="AF33" s="1194">
        <v>1.6</v>
      </c>
      <c r="AG33" s="1195">
        <v>0.2</v>
      </c>
      <c r="AH33" s="1193">
        <v>1</v>
      </c>
      <c r="AI33" s="1134"/>
      <c r="AJ33" s="1134"/>
    </row>
    <row r="34" spans="2:36" x14ac:dyDescent="0.25">
      <c r="B34" s="575" t="s">
        <v>884</v>
      </c>
      <c r="C34" s="1122" t="s">
        <v>885</v>
      </c>
      <c r="D34" s="758" t="s">
        <v>723</v>
      </c>
      <c r="E34" s="758" t="s">
        <v>723</v>
      </c>
      <c r="F34" s="758">
        <v>2.5</v>
      </c>
      <c r="G34" s="1120">
        <f t="shared" si="1"/>
        <v>125000</v>
      </c>
      <c r="H34" s="758">
        <v>6</v>
      </c>
      <c r="I34" s="758" t="s">
        <v>723</v>
      </c>
      <c r="J34" s="758" t="s">
        <v>723</v>
      </c>
      <c r="K34" s="196"/>
      <c r="N34" s="1169">
        <f>'Regulação de polinização'!C132</f>
        <v>0</v>
      </c>
      <c r="O34" s="1176">
        <f>'Regulação de polinização'!D132</f>
        <v>0</v>
      </c>
      <c r="P34" s="1176" t="e">
        <f>IF(P$10=0,0,IF('Regulação de polinização'!E132&gt;0,'Regulação de polinização'!E132,TRUNC(IF(P$11=0,$O34,IF(P$11&lt;0,$O34*(1+(-P$11*0.232)),$O34/(1+(P$11*0.232)))))))</f>
        <v>#N/A</v>
      </c>
      <c r="Q34" s="1176" t="e">
        <f>IF(Q$10=0,0,IF('Regulação de polinização'!F132&gt;0,'Regulação de polinização'!F132,TRUNC(IF(Q$11=0,$O34,IF(Q$11&lt;0,$O34*(1+(-Q$11*0.232)),$O34/(1+(Q$11*0.232)))))))</f>
        <v>#N/A</v>
      </c>
      <c r="R34" s="1176" t="e">
        <f>IF(R$10=0,0,IF('Regulação de polinização'!G132&gt;0,'Regulação de polinização'!G132,TRUNC(IF(R$11=0,$O34,IF(R$11&lt;0,$O34*(1+(-R$11*0.232)),$O34/(1+(R$11*0.232)))))))</f>
        <v>#N/A</v>
      </c>
      <c r="S34" s="1176" t="e">
        <f>IF(S$10=0,0,IF('Regulação de polinização'!H132&gt;0,'Regulação de polinização'!H132,TRUNC(IF(S$11=0,$O34,IF(S$11&lt;0,$O34*(1+(-S$11*0.232)),$O34/(1+(S$11*0.232)))))))</f>
        <v>#N/A</v>
      </c>
      <c r="T34" s="1176" t="e">
        <f>IF(T$10=0,0,IF('Regulação de polinização'!I132&gt;0,'Regulação de polinização'!I132,TRUNC(IF(T$11=0,$O34,IF(T$11&lt;0,$O34*(1+(-T$11*0.232)),$O34/(1+(T$11*0.232)))))))</f>
        <v>#N/A</v>
      </c>
      <c r="U34" s="1176" t="e">
        <f>IF(U$10=0,0,IF('Regulação de polinização'!J132&gt;0,'Regulação de polinização'!J132,TRUNC(IF(U$11=0,$O34,IF(U$11&lt;0,$O34*(1+(-U$11*0.232)),$O34/(1+(U$11*0.232)))))))</f>
        <v>#N/A</v>
      </c>
      <c r="V34" s="1176" t="e">
        <f>IF(V$10=0,0,IF('Regulação de polinização'!K132&gt;0,'Regulação de polinização'!K132,TRUNC(IF(V$11=0,$O34,IF(V$11&lt;0,$O34*(1+(-V$11*0.232)),$O34/(1+(V$11*0.232)))))))</f>
        <v>#N/A</v>
      </c>
      <c r="W34" s="1176" t="e">
        <f>IF(W$10=0,0,IF('Regulação de polinização'!L132&gt;0,'Regulação de polinização'!L132,TRUNC(IF(W$11=0,$O34,IF(W$11&lt;0,$O34*(1+(-W$11*0.232)),$O34/(1+(W$11*0.232)))))))</f>
        <v>#N/A</v>
      </c>
      <c r="X34" s="1176" t="e">
        <f>IF(X$10=0,0,IF('Regulação de polinização'!M132&gt;0,'Regulação de polinização'!M132,TRUNC(IF(X$11=0,$O34,IF(X$11&lt;0,$O34*(1+(-X$11*0.232)),$O34/(1+(X$11*0.232)))))))</f>
        <v>#N/A</v>
      </c>
      <c r="Y34" s="1176" t="e">
        <f>IF(Y$10=0,0,IF('Regulação de polinização'!N132&gt;0,'Regulação de polinização'!N132,TRUNC(IF(Y$11=0,$O34,IF(Y$11&lt;0,$O34*(1+(-Y$11*0.232)),$O34/(1+(Y$11*0.232)))))))</f>
        <v>#N/A</v>
      </c>
      <c r="Z34" s="1176" t="e">
        <f>IF(Z$10=0,0,IF('Regulação de polinização'!O132&gt;0,'Regulação de polinização'!O132,TRUNC(IF(Z$11=0,$O34,IF(Z$11&lt;0,$O34*(1+(-Z$11*0.232)),$O34/(1+(Z$11*0.232)))))))</f>
        <v>#N/A</v>
      </c>
      <c r="AA34" s="1179" t="e">
        <f>IF('Regulação de polinização'!P132&gt;0,'Regulação de polinização'!P132,10^(-1.363+3.366*LOG10('Regulação de polinização'!Q132)))</f>
        <v>#NUM!</v>
      </c>
      <c r="AB34" s="1132"/>
      <c r="AC34" s="1132"/>
      <c r="AD34" s="1197" t="s">
        <v>886</v>
      </c>
      <c r="AE34" s="1193" t="s">
        <v>830</v>
      </c>
      <c r="AF34" s="1194">
        <v>1.2</v>
      </c>
      <c r="AG34" s="1195">
        <v>0.1</v>
      </c>
      <c r="AH34" s="1198">
        <v>1</v>
      </c>
      <c r="AI34" s="1134"/>
      <c r="AJ34" s="1134"/>
    </row>
    <row r="35" spans="2:36" x14ac:dyDescent="0.25">
      <c r="B35" s="575" t="s">
        <v>1555</v>
      </c>
      <c r="C35" s="1122" t="s">
        <v>887</v>
      </c>
      <c r="D35" s="1119">
        <v>1</v>
      </c>
      <c r="E35" s="758">
        <v>7</v>
      </c>
      <c r="F35" s="758">
        <v>7.5</v>
      </c>
      <c r="G35" s="1120">
        <f t="shared" si="1"/>
        <v>375000</v>
      </c>
      <c r="H35" s="758">
        <v>6</v>
      </c>
      <c r="I35" s="758" t="s">
        <v>723</v>
      </c>
      <c r="J35" s="758" t="s">
        <v>723</v>
      </c>
      <c r="K35" s="196"/>
      <c r="N35" s="1169">
        <f>'Regulação de polinização'!C133</f>
        <v>0</v>
      </c>
      <c r="O35" s="1176">
        <f>'Regulação de polinização'!D133</f>
        <v>0</v>
      </c>
      <c r="P35" s="1176" t="e">
        <f>IF(P$10=0,0,IF('Regulação de polinização'!E133&gt;0,'Regulação de polinização'!E133,TRUNC(IF(P$11=0,$O35,IF(P$11&lt;0,$O35*(1+(-P$11*0.232)),$O35/(1+(P$11*0.232)))))))</f>
        <v>#N/A</v>
      </c>
      <c r="Q35" s="1176" t="e">
        <f>IF(Q$10=0,0,IF('Regulação de polinização'!F133&gt;0,'Regulação de polinização'!F133,TRUNC(IF(Q$11=0,$O35,IF(Q$11&lt;0,$O35*(1+(-Q$11*0.232)),$O35/(1+(Q$11*0.232)))))))</f>
        <v>#N/A</v>
      </c>
      <c r="R35" s="1176" t="e">
        <f>IF(R$10=0,0,IF('Regulação de polinização'!G133&gt;0,'Regulação de polinização'!G133,TRUNC(IF(R$11=0,$O35,IF(R$11&lt;0,$O35*(1+(-R$11*0.232)),$O35/(1+(R$11*0.232)))))))</f>
        <v>#N/A</v>
      </c>
      <c r="S35" s="1176" t="e">
        <f>IF(S$10=0,0,IF('Regulação de polinização'!H133&gt;0,'Regulação de polinização'!H133,TRUNC(IF(S$11=0,$O35,IF(S$11&lt;0,$O35*(1+(-S$11*0.232)),$O35/(1+(S$11*0.232)))))))</f>
        <v>#N/A</v>
      </c>
      <c r="T35" s="1176" t="e">
        <f>IF(T$10=0,0,IF('Regulação de polinização'!I133&gt;0,'Regulação de polinização'!I133,TRUNC(IF(T$11=0,$O35,IF(T$11&lt;0,$O35*(1+(-T$11*0.232)),$O35/(1+(T$11*0.232)))))))</f>
        <v>#N/A</v>
      </c>
      <c r="U35" s="1176" t="e">
        <f>IF(U$10=0,0,IF('Regulação de polinização'!J133&gt;0,'Regulação de polinização'!J133,TRUNC(IF(U$11=0,$O35,IF(U$11&lt;0,$O35*(1+(-U$11*0.232)),$O35/(1+(U$11*0.232)))))))</f>
        <v>#N/A</v>
      </c>
      <c r="V35" s="1176" t="e">
        <f>IF(V$10=0,0,IF('Regulação de polinização'!K133&gt;0,'Regulação de polinização'!K133,TRUNC(IF(V$11=0,$O35,IF(V$11&lt;0,$O35*(1+(-V$11*0.232)),$O35/(1+(V$11*0.232)))))))</f>
        <v>#N/A</v>
      </c>
      <c r="W35" s="1176" t="e">
        <f>IF(W$10=0,0,IF('Regulação de polinização'!L133&gt;0,'Regulação de polinização'!L133,TRUNC(IF(W$11=0,$O35,IF(W$11&lt;0,$O35*(1+(-W$11*0.232)),$O35/(1+(W$11*0.232)))))))</f>
        <v>#N/A</v>
      </c>
      <c r="X35" s="1176" t="e">
        <f>IF(X$10=0,0,IF('Regulação de polinização'!M133&gt;0,'Regulação de polinização'!M133,TRUNC(IF(X$11=0,$O35,IF(X$11&lt;0,$O35*(1+(-X$11*0.232)),$O35/(1+(X$11*0.232)))))))</f>
        <v>#N/A</v>
      </c>
      <c r="Y35" s="1176" t="e">
        <f>IF(Y$10=0,0,IF('Regulação de polinização'!N133&gt;0,'Regulação de polinização'!N133,TRUNC(IF(Y$11=0,$O35,IF(Y$11&lt;0,$O35*(1+(-Y$11*0.232)),$O35/(1+(Y$11*0.232)))))))</f>
        <v>#N/A</v>
      </c>
      <c r="Z35" s="1176" t="e">
        <f>IF(Z$10=0,0,IF('Regulação de polinização'!O133&gt;0,'Regulação de polinização'!O133,TRUNC(IF(Z$11=0,$O35,IF(Z$11&lt;0,$O35*(1+(-Z$11*0.232)),$O35/(1+(Z$11*0.232)))))))</f>
        <v>#N/A</v>
      </c>
      <c r="AA35" s="1179" t="e">
        <f>IF('Regulação de polinização'!P133&gt;0,'Regulação de polinização'!P133,10^(-1.363+3.366*LOG10('Regulação de polinização'!Q133)))</f>
        <v>#NUM!</v>
      </c>
      <c r="AB35" s="1132"/>
      <c r="AC35" s="1132"/>
      <c r="AD35" s="1192" t="s">
        <v>888</v>
      </c>
      <c r="AE35" s="1193" t="s">
        <v>868</v>
      </c>
      <c r="AF35" s="1194">
        <v>2.4</v>
      </c>
      <c r="AG35" s="1195">
        <v>0.8</v>
      </c>
      <c r="AH35" s="1193">
        <v>1</v>
      </c>
      <c r="AI35" s="1134"/>
      <c r="AJ35" s="1134"/>
    </row>
    <row r="36" spans="2:36" x14ac:dyDescent="0.25">
      <c r="B36" s="575" t="s">
        <v>889</v>
      </c>
      <c r="C36" s="1122" t="s">
        <v>890</v>
      </c>
      <c r="D36" s="1119" t="s">
        <v>723</v>
      </c>
      <c r="E36" s="758" t="s">
        <v>723</v>
      </c>
      <c r="F36" s="758">
        <v>7.5</v>
      </c>
      <c r="G36" s="1120">
        <f t="shared" si="1"/>
        <v>375000</v>
      </c>
      <c r="H36" s="758">
        <v>6</v>
      </c>
      <c r="I36" s="758" t="s">
        <v>723</v>
      </c>
      <c r="J36" s="758" t="s">
        <v>723</v>
      </c>
      <c r="K36" s="196"/>
      <c r="N36" s="1169">
        <f>'Regulação de polinização'!C134</f>
        <v>0</v>
      </c>
      <c r="O36" s="1176">
        <f>'Regulação de polinização'!D134</f>
        <v>0</v>
      </c>
      <c r="P36" s="1176" t="e">
        <f>IF(P$10=0,0,IF('Regulação de polinização'!E134&gt;0,'Regulação de polinização'!E134,TRUNC(IF(P$11=0,$O36,IF(P$11&lt;0,$O36*(1+(-P$11*0.232)),$O36/(1+(P$11*0.232)))))))</f>
        <v>#N/A</v>
      </c>
      <c r="Q36" s="1176" t="e">
        <f>IF(Q$10=0,0,IF('Regulação de polinização'!F134&gt;0,'Regulação de polinização'!F134,TRUNC(IF(Q$11=0,$O36,IF(Q$11&lt;0,$O36*(1+(-Q$11*0.232)),$O36/(1+(Q$11*0.232)))))))</f>
        <v>#N/A</v>
      </c>
      <c r="R36" s="1176" t="e">
        <f>IF(R$10=0,0,IF('Regulação de polinização'!G134&gt;0,'Regulação de polinização'!G134,TRUNC(IF(R$11=0,$O36,IF(R$11&lt;0,$O36*(1+(-R$11*0.232)),$O36/(1+(R$11*0.232)))))))</f>
        <v>#N/A</v>
      </c>
      <c r="S36" s="1176" t="e">
        <f>IF(S$10=0,0,IF('Regulação de polinização'!H134&gt;0,'Regulação de polinização'!H134,TRUNC(IF(S$11=0,$O36,IF(S$11&lt;0,$O36*(1+(-S$11*0.232)),$O36/(1+(S$11*0.232)))))))</f>
        <v>#N/A</v>
      </c>
      <c r="T36" s="1176" t="e">
        <f>IF(T$10=0,0,IF('Regulação de polinização'!I134&gt;0,'Regulação de polinização'!I134,TRUNC(IF(T$11=0,$O36,IF(T$11&lt;0,$O36*(1+(-T$11*0.232)),$O36/(1+(T$11*0.232)))))))</f>
        <v>#N/A</v>
      </c>
      <c r="U36" s="1176" t="e">
        <f>IF(U$10=0,0,IF('Regulação de polinização'!J134&gt;0,'Regulação de polinização'!J134,TRUNC(IF(U$11=0,$O36,IF(U$11&lt;0,$O36*(1+(-U$11*0.232)),$O36/(1+(U$11*0.232)))))))</f>
        <v>#N/A</v>
      </c>
      <c r="V36" s="1176" t="e">
        <f>IF(V$10=0,0,IF('Regulação de polinização'!K134&gt;0,'Regulação de polinização'!K134,TRUNC(IF(V$11=0,$O36,IF(V$11&lt;0,$O36*(1+(-V$11*0.232)),$O36/(1+(V$11*0.232)))))))</f>
        <v>#N/A</v>
      </c>
      <c r="W36" s="1176" t="e">
        <f>IF(W$10=0,0,IF('Regulação de polinização'!L134&gt;0,'Regulação de polinização'!L134,TRUNC(IF(W$11=0,$O36,IF(W$11&lt;0,$O36*(1+(-W$11*0.232)),$O36/(1+(W$11*0.232)))))))</f>
        <v>#N/A</v>
      </c>
      <c r="X36" s="1176" t="e">
        <f>IF(X$10=0,0,IF('Regulação de polinização'!M134&gt;0,'Regulação de polinização'!M134,TRUNC(IF(X$11=0,$O36,IF(X$11&lt;0,$O36*(1+(-X$11*0.232)),$O36/(1+(X$11*0.232)))))))</f>
        <v>#N/A</v>
      </c>
      <c r="Y36" s="1176" t="e">
        <f>IF(Y$10=0,0,IF('Regulação de polinização'!N134&gt;0,'Regulação de polinização'!N134,TRUNC(IF(Y$11=0,$O36,IF(Y$11&lt;0,$O36*(1+(-Y$11*0.232)),$O36/(1+(Y$11*0.232)))))))</f>
        <v>#N/A</v>
      </c>
      <c r="Z36" s="1176" t="e">
        <f>IF(Z$10=0,0,IF('Regulação de polinização'!O134&gt;0,'Regulação de polinização'!O134,TRUNC(IF(Z$11=0,$O36,IF(Z$11&lt;0,$O36*(1+(-Z$11*0.232)),$O36/(1+(Z$11*0.232)))))))</f>
        <v>#N/A</v>
      </c>
      <c r="AA36" s="1179" t="e">
        <f>IF('Regulação de polinização'!P134&gt;0,'Regulação de polinização'!P134,10^(-1.363+3.366*LOG10('Regulação de polinização'!Q134)))</f>
        <v>#NUM!</v>
      </c>
      <c r="AB36" s="1132"/>
      <c r="AC36" s="1132"/>
      <c r="AD36" s="1192" t="s">
        <v>891</v>
      </c>
      <c r="AE36" s="1193" t="s">
        <v>892</v>
      </c>
      <c r="AF36" s="1194">
        <v>1.7</v>
      </c>
      <c r="AG36" s="1195">
        <v>0.2</v>
      </c>
      <c r="AH36" s="1193">
        <v>1</v>
      </c>
      <c r="AI36" s="1134"/>
      <c r="AJ36" s="1134"/>
    </row>
    <row r="37" spans="2:36" x14ac:dyDescent="0.25">
      <c r="B37" s="575" t="s">
        <v>893</v>
      </c>
      <c r="C37" s="1122" t="s">
        <v>894</v>
      </c>
      <c r="D37" s="1119">
        <v>0.3</v>
      </c>
      <c r="E37" s="758">
        <v>7</v>
      </c>
      <c r="F37" s="758">
        <v>7.5</v>
      </c>
      <c r="G37" s="1120">
        <f t="shared" si="1"/>
        <v>375000</v>
      </c>
      <c r="H37" s="758">
        <v>6</v>
      </c>
      <c r="I37" s="758" t="s">
        <v>723</v>
      </c>
      <c r="J37" s="758" t="s">
        <v>723</v>
      </c>
      <c r="K37" s="196"/>
      <c r="N37" s="1169">
        <f>'Regulação de polinização'!C135</f>
        <v>0</v>
      </c>
      <c r="O37" s="1176">
        <f>'Regulação de polinização'!D135</f>
        <v>0</v>
      </c>
      <c r="P37" s="1176" t="e">
        <f>IF(P$10=0,0,IF('Regulação de polinização'!E135&gt;0,'Regulação de polinização'!E135,TRUNC(IF(P$11=0,$O37,IF(P$11&lt;0,$O37*(1+(-P$11*0.232)),$O37/(1+(P$11*0.232)))))))</f>
        <v>#N/A</v>
      </c>
      <c r="Q37" s="1176" t="e">
        <f>IF(Q$10=0,0,IF('Regulação de polinização'!F135&gt;0,'Regulação de polinização'!F135,TRUNC(IF(Q$11=0,$O37,IF(Q$11&lt;0,$O37*(1+(-Q$11*0.232)),$O37/(1+(Q$11*0.232)))))))</f>
        <v>#N/A</v>
      </c>
      <c r="R37" s="1176" t="e">
        <f>IF(R$10=0,0,IF('Regulação de polinização'!G135&gt;0,'Regulação de polinização'!G135,TRUNC(IF(R$11=0,$O37,IF(R$11&lt;0,$O37*(1+(-R$11*0.232)),$O37/(1+(R$11*0.232)))))))</f>
        <v>#N/A</v>
      </c>
      <c r="S37" s="1176" t="e">
        <f>IF(S$10=0,0,IF('Regulação de polinização'!H135&gt;0,'Regulação de polinização'!H135,TRUNC(IF(S$11=0,$O37,IF(S$11&lt;0,$O37*(1+(-S$11*0.232)),$O37/(1+(S$11*0.232)))))))</f>
        <v>#N/A</v>
      </c>
      <c r="T37" s="1176" t="e">
        <f>IF(T$10=0,0,IF('Regulação de polinização'!I135&gt;0,'Regulação de polinização'!I135,TRUNC(IF(T$11=0,$O37,IF(T$11&lt;0,$O37*(1+(-T$11*0.232)),$O37/(1+(T$11*0.232)))))))</f>
        <v>#N/A</v>
      </c>
      <c r="U37" s="1176" t="e">
        <f>IF(U$10=0,0,IF('Regulação de polinização'!J135&gt;0,'Regulação de polinização'!J135,TRUNC(IF(U$11=0,$O37,IF(U$11&lt;0,$O37*(1+(-U$11*0.232)),$O37/(1+(U$11*0.232)))))))</f>
        <v>#N/A</v>
      </c>
      <c r="V37" s="1176" t="e">
        <f>IF(V$10=0,0,IF('Regulação de polinização'!K135&gt;0,'Regulação de polinização'!K135,TRUNC(IF(V$11=0,$O37,IF(V$11&lt;0,$O37*(1+(-V$11*0.232)),$O37/(1+(V$11*0.232)))))))</f>
        <v>#N/A</v>
      </c>
      <c r="W37" s="1176" t="e">
        <f>IF(W$10=0,0,IF('Regulação de polinização'!L135&gt;0,'Regulação de polinização'!L135,TRUNC(IF(W$11=0,$O37,IF(W$11&lt;0,$O37*(1+(-W$11*0.232)),$O37/(1+(W$11*0.232)))))))</f>
        <v>#N/A</v>
      </c>
      <c r="X37" s="1176" t="e">
        <f>IF(X$10=0,0,IF('Regulação de polinização'!M135&gt;0,'Regulação de polinização'!M135,TRUNC(IF(X$11=0,$O37,IF(X$11&lt;0,$O37*(1+(-X$11*0.232)),$O37/(1+(X$11*0.232)))))))</f>
        <v>#N/A</v>
      </c>
      <c r="Y37" s="1176" t="e">
        <f>IF(Y$10=0,0,IF('Regulação de polinização'!N135&gt;0,'Regulação de polinização'!N135,TRUNC(IF(Y$11=0,$O37,IF(Y$11&lt;0,$O37*(1+(-Y$11*0.232)),$O37/(1+(Y$11*0.232)))))))</f>
        <v>#N/A</v>
      </c>
      <c r="Z37" s="1176" t="e">
        <f>IF(Z$10=0,0,IF('Regulação de polinização'!O135&gt;0,'Regulação de polinização'!O135,TRUNC(IF(Z$11=0,$O37,IF(Z$11&lt;0,$O37*(1+(-Z$11*0.232)),$O37/(1+(Z$11*0.232)))))))</f>
        <v>#N/A</v>
      </c>
      <c r="AA37" s="1179" t="e">
        <f>IF('Regulação de polinização'!P135&gt;0,'Regulação de polinização'!P135,10^(-1.363+3.366*LOG10('Regulação de polinização'!Q135)))</f>
        <v>#NUM!</v>
      </c>
      <c r="AB37" s="1132"/>
      <c r="AC37" s="1132"/>
      <c r="AD37" s="1192" t="s">
        <v>895</v>
      </c>
      <c r="AE37" s="1193" t="s">
        <v>892</v>
      </c>
      <c r="AF37" s="1194">
        <v>1.1000000000000001</v>
      </c>
      <c r="AG37" s="1195">
        <v>0.06</v>
      </c>
      <c r="AH37" s="1193">
        <v>1</v>
      </c>
      <c r="AI37" s="1134"/>
      <c r="AJ37" s="1134"/>
    </row>
    <row r="38" spans="2:36" x14ac:dyDescent="0.25">
      <c r="B38" s="575" t="s">
        <v>896</v>
      </c>
      <c r="C38" s="1122" t="s">
        <v>897</v>
      </c>
      <c r="D38" s="1119">
        <v>0.9</v>
      </c>
      <c r="E38" s="758">
        <v>7</v>
      </c>
      <c r="F38" s="758">
        <v>5</v>
      </c>
      <c r="G38" s="1120">
        <f t="shared" si="1"/>
        <v>250000</v>
      </c>
      <c r="H38" s="758">
        <v>6</v>
      </c>
      <c r="I38" s="758" t="s">
        <v>723</v>
      </c>
      <c r="J38" s="758" t="s">
        <v>723</v>
      </c>
      <c r="K38" s="196"/>
      <c r="N38" s="1169">
        <f>'Regulação de polinização'!C136</f>
        <v>0</v>
      </c>
      <c r="O38" s="1176">
        <f>'Regulação de polinização'!D136</f>
        <v>0</v>
      </c>
      <c r="P38" s="1176" t="e">
        <f>IF(P$10=0,0,IF('Regulação de polinização'!E136&gt;0,'Regulação de polinização'!E136,TRUNC(IF(P$11=0,$O38,IF(P$11&lt;0,$O38*(1+(-P$11*0.232)),$O38/(1+(P$11*0.232)))))))</f>
        <v>#N/A</v>
      </c>
      <c r="Q38" s="1176" t="e">
        <f>IF(Q$10=0,0,IF('Regulação de polinização'!F136&gt;0,'Regulação de polinização'!F136,TRUNC(IF(Q$11=0,$O38,IF(Q$11&lt;0,$O38*(1+(-Q$11*0.232)),$O38/(1+(Q$11*0.232)))))))</f>
        <v>#N/A</v>
      </c>
      <c r="R38" s="1176" t="e">
        <f>IF(R$10=0,0,IF('Regulação de polinização'!G136&gt;0,'Regulação de polinização'!G136,TRUNC(IF(R$11=0,$O38,IF(R$11&lt;0,$O38*(1+(-R$11*0.232)),$O38/(1+(R$11*0.232)))))))</f>
        <v>#N/A</v>
      </c>
      <c r="S38" s="1176" t="e">
        <f>IF(S$10=0,0,IF('Regulação de polinização'!H136&gt;0,'Regulação de polinização'!H136,TRUNC(IF(S$11=0,$O38,IF(S$11&lt;0,$O38*(1+(-S$11*0.232)),$O38/(1+(S$11*0.232)))))))</f>
        <v>#N/A</v>
      </c>
      <c r="T38" s="1176" t="e">
        <f>IF(T$10=0,0,IF('Regulação de polinização'!I136&gt;0,'Regulação de polinização'!I136,TRUNC(IF(T$11=0,$O38,IF(T$11&lt;0,$O38*(1+(-T$11*0.232)),$O38/(1+(T$11*0.232)))))))</f>
        <v>#N/A</v>
      </c>
      <c r="U38" s="1176" t="e">
        <f>IF(U$10=0,0,IF('Regulação de polinização'!J136&gt;0,'Regulação de polinização'!J136,TRUNC(IF(U$11=0,$O38,IF(U$11&lt;0,$O38*(1+(-U$11*0.232)),$O38/(1+(U$11*0.232)))))))</f>
        <v>#N/A</v>
      </c>
      <c r="V38" s="1176" t="e">
        <f>IF(V$10=0,0,IF('Regulação de polinização'!K136&gt;0,'Regulação de polinização'!K136,TRUNC(IF(V$11=0,$O38,IF(V$11&lt;0,$O38*(1+(-V$11*0.232)),$O38/(1+(V$11*0.232)))))))</f>
        <v>#N/A</v>
      </c>
      <c r="W38" s="1176" t="e">
        <f>IF(W$10=0,0,IF('Regulação de polinização'!L136&gt;0,'Regulação de polinização'!L136,TRUNC(IF(W$11=0,$O38,IF(W$11&lt;0,$O38*(1+(-W$11*0.232)),$O38/(1+(W$11*0.232)))))))</f>
        <v>#N/A</v>
      </c>
      <c r="X38" s="1176" t="e">
        <f>IF(X$10=0,0,IF('Regulação de polinização'!M136&gt;0,'Regulação de polinização'!M136,TRUNC(IF(X$11=0,$O38,IF(X$11&lt;0,$O38*(1+(-X$11*0.232)),$O38/(1+(X$11*0.232)))))))</f>
        <v>#N/A</v>
      </c>
      <c r="Y38" s="1176" t="e">
        <f>IF(Y$10=0,0,IF('Regulação de polinização'!N136&gt;0,'Regulação de polinização'!N136,TRUNC(IF(Y$11=0,$O38,IF(Y$11&lt;0,$O38*(1+(-Y$11*0.232)),$O38/(1+(Y$11*0.232)))))))</f>
        <v>#N/A</v>
      </c>
      <c r="Z38" s="1176" t="e">
        <f>IF(Z$10=0,0,IF('Regulação de polinização'!O136&gt;0,'Regulação de polinização'!O136,TRUNC(IF(Z$11=0,$O38,IF(Z$11&lt;0,$O38*(1+(-Z$11*0.232)),$O38/(1+(Z$11*0.232)))))))</f>
        <v>#N/A</v>
      </c>
      <c r="AA38" s="1179" t="e">
        <f>IF('Regulação de polinização'!P136&gt;0,'Regulação de polinização'!P136,10^(-1.363+3.366*LOG10('Regulação de polinização'!Q136)))</f>
        <v>#NUM!</v>
      </c>
      <c r="AB38" s="1132"/>
      <c r="AC38" s="1132"/>
      <c r="AD38" s="1197" t="s">
        <v>898</v>
      </c>
      <c r="AE38" s="1193" t="s">
        <v>899</v>
      </c>
      <c r="AF38" s="1194">
        <v>1.2</v>
      </c>
      <c r="AG38" s="1195">
        <v>0.2</v>
      </c>
      <c r="AH38" s="1198">
        <v>1</v>
      </c>
      <c r="AI38" s="1134"/>
      <c r="AJ38" s="1134"/>
    </row>
    <row r="39" spans="2:36" x14ac:dyDescent="0.25">
      <c r="B39" s="575" t="s">
        <v>900</v>
      </c>
      <c r="C39" s="1122" t="s">
        <v>901</v>
      </c>
      <c r="D39" s="1119">
        <v>0.3</v>
      </c>
      <c r="E39" s="758">
        <v>7</v>
      </c>
      <c r="F39" s="758">
        <v>2.5</v>
      </c>
      <c r="G39" s="1120">
        <f t="shared" si="1"/>
        <v>125000</v>
      </c>
      <c r="H39" s="758">
        <v>7</v>
      </c>
      <c r="I39" s="758" t="s">
        <v>723</v>
      </c>
      <c r="J39" s="758" t="s">
        <v>723</v>
      </c>
      <c r="K39" s="196"/>
      <c r="N39" s="1169">
        <f>'Regulação de polinização'!C137</f>
        <v>0</v>
      </c>
      <c r="O39" s="1176">
        <f>'Regulação de polinização'!D137</f>
        <v>0</v>
      </c>
      <c r="P39" s="1176" t="e">
        <f>IF(P$10=0,0,IF('Regulação de polinização'!E137&gt;0,'Regulação de polinização'!E137,TRUNC(IF(P$11=0,$O39,IF(P$11&lt;0,$O39*(1+(-P$11*0.232)),$O39/(1+(P$11*0.232)))))))</f>
        <v>#N/A</v>
      </c>
      <c r="Q39" s="1176" t="e">
        <f>IF(Q$10=0,0,IF('Regulação de polinização'!F137&gt;0,'Regulação de polinização'!F137,TRUNC(IF(Q$11=0,$O39,IF(Q$11&lt;0,$O39*(1+(-Q$11*0.232)),$O39/(1+(Q$11*0.232)))))))</f>
        <v>#N/A</v>
      </c>
      <c r="R39" s="1176" t="e">
        <f>IF(R$10=0,0,IF('Regulação de polinização'!G137&gt;0,'Regulação de polinização'!G137,TRUNC(IF(R$11=0,$O39,IF(R$11&lt;0,$O39*(1+(-R$11*0.232)),$O39/(1+(R$11*0.232)))))))</f>
        <v>#N/A</v>
      </c>
      <c r="S39" s="1176" t="e">
        <f>IF(S$10=0,0,IF('Regulação de polinização'!H137&gt;0,'Regulação de polinização'!H137,TRUNC(IF(S$11=0,$O39,IF(S$11&lt;0,$O39*(1+(-S$11*0.232)),$O39/(1+(S$11*0.232)))))))</f>
        <v>#N/A</v>
      </c>
      <c r="T39" s="1176" t="e">
        <f>IF(T$10=0,0,IF('Regulação de polinização'!I137&gt;0,'Regulação de polinização'!I137,TRUNC(IF(T$11=0,$O39,IF(T$11&lt;0,$O39*(1+(-T$11*0.232)),$O39/(1+(T$11*0.232)))))))</f>
        <v>#N/A</v>
      </c>
      <c r="U39" s="1176" t="e">
        <f>IF(U$10=0,0,IF('Regulação de polinização'!J137&gt;0,'Regulação de polinização'!J137,TRUNC(IF(U$11=0,$O39,IF(U$11&lt;0,$O39*(1+(-U$11*0.232)),$O39/(1+(U$11*0.232)))))))</f>
        <v>#N/A</v>
      </c>
      <c r="V39" s="1176" t="e">
        <f>IF(V$10=0,0,IF('Regulação de polinização'!K137&gt;0,'Regulação de polinização'!K137,TRUNC(IF(V$11=0,$O39,IF(V$11&lt;0,$O39*(1+(-V$11*0.232)),$O39/(1+(V$11*0.232)))))))</f>
        <v>#N/A</v>
      </c>
      <c r="W39" s="1176" t="e">
        <f>IF(W$10=0,0,IF('Regulação de polinização'!L137&gt;0,'Regulação de polinização'!L137,TRUNC(IF(W$11=0,$O39,IF(W$11&lt;0,$O39*(1+(-W$11*0.232)),$O39/(1+(W$11*0.232)))))))</f>
        <v>#N/A</v>
      </c>
      <c r="X39" s="1176" t="e">
        <f>IF(X$10=0,0,IF('Regulação de polinização'!M137&gt;0,'Regulação de polinização'!M137,TRUNC(IF(X$11=0,$O39,IF(X$11&lt;0,$O39*(1+(-X$11*0.232)),$O39/(1+(X$11*0.232)))))))</f>
        <v>#N/A</v>
      </c>
      <c r="Y39" s="1176" t="e">
        <f>IF(Y$10=0,0,IF('Regulação de polinização'!N137&gt;0,'Regulação de polinização'!N137,TRUNC(IF(Y$11=0,$O39,IF(Y$11&lt;0,$O39*(1+(-Y$11*0.232)),$O39/(1+(Y$11*0.232)))))))</f>
        <v>#N/A</v>
      </c>
      <c r="Z39" s="1176" t="e">
        <f>IF(Z$10=0,0,IF('Regulação de polinização'!O137&gt;0,'Regulação de polinização'!O137,TRUNC(IF(Z$11=0,$O39,IF(Z$11&lt;0,$O39*(1+(-Z$11*0.232)),$O39/(1+(Z$11*0.232)))))))</f>
        <v>#N/A</v>
      </c>
      <c r="AA39" s="1179" t="e">
        <f>IF('Regulação de polinização'!P137&gt;0,'Regulação de polinização'!P137,10^(-1.363+3.366*LOG10('Regulação de polinização'!Q137)))</f>
        <v>#NUM!</v>
      </c>
      <c r="AB39" s="1132"/>
      <c r="AC39" s="1132"/>
      <c r="AD39" s="1192" t="s">
        <v>902</v>
      </c>
      <c r="AE39" s="1193" t="s">
        <v>812</v>
      </c>
      <c r="AF39" s="1194">
        <v>2.2999999999999998</v>
      </c>
      <c r="AG39" s="1195">
        <v>0.7</v>
      </c>
      <c r="AH39" s="1193">
        <v>1</v>
      </c>
      <c r="AI39" s="1134"/>
      <c r="AJ39" s="1134"/>
    </row>
    <row r="40" spans="2:36" x14ac:dyDescent="0.25">
      <c r="B40" s="575" t="s">
        <v>903</v>
      </c>
      <c r="C40" s="1122" t="s">
        <v>904</v>
      </c>
      <c r="D40" s="1119">
        <v>0.09</v>
      </c>
      <c r="E40" s="758">
        <v>7</v>
      </c>
      <c r="F40" s="758">
        <v>7.5</v>
      </c>
      <c r="G40" s="1120">
        <f t="shared" si="1"/>
        <v>375000</v>
      </c>
      <c r="H40" s="758">
        <v>7</v>
      </c>
      <c r="I40" s="758" t="s">
        <v>723</v>
      </c>
      <c r="J40" s="758" t="s">
        <v>723</v>
      </c>
      <c r="K40" s="196"/>
      <c r="N40" s="1170">
        <f>'Regulação de polinização'!C138</f>
        <v>0</v>
      </c>
      <c r="O40" s="1170">
        <f>'Regulação de polinização'!D138</f>
        <v>0</v>
      </c>
      <c r="P40" s="1170" t="e">
        <f>IF(P$10=0,0,IF('Regulação de polinização'!E138&gt;0,'Regulação de polinização'!E138,TRUNC(IF(P$11=0,$O40,IF(P$11&lt;0,$O40*(1+(-P$11*0.232)),$O40/(1+(P$11*0.232)))))))</f>
        <v>#N/A</v>
      </c>
      <c r="Q40" s="1170" t="e">
        <f>IF(Q$10=0,0,IF('Regulação de polinização'!F138&gt;0,'Regulação de polinização'!F138,TRUNC(IF(Q$11=0,$O40,IF(Q$11&lt;0,$O40*(1+(-Q$11*0.232)),$O40/(1+(Q$11*0.232)))))))</f>
        <v>#N/A</v>
      </c>
      <c r="R40" s="1170" t="e">
        <f>IF(R$10=0,0,IF('Regulação de polinização'!G138&gt;0,'Regulação de polinização'!G138,TRUNC(IF(R$11=0,$O40,IF(R$11&lt;0,$O40*(1+(-R$11*0.232)),$O40/(1+(R$11*0.232)))))))</f>
        <v>#N/A</v>
      </c>
      <c r="S40" s="1170" t="e">
        <f>IF(S$10=0,0,IF('Regulação de polinização'!H138&gt;0,'Regulação de polinização'!H138,TRUNC(IF(S$11=0,$O40,IF(S$11&lt;0,$O40*(1+(-S$11*0.232)),$O40/(1+(S$11*0.232)))))))</f>
        <v>#N/A</v>
      </c>
      <c r="T40" s="1170" t="e">
        <f>IF(T$10=0,0,IF('Regulação de polinização'!I138&gt;0,'Regulação de polinização'!I138,TRUNC(IF(T$11=0,$O40,IF(T$11&lt;0,$O40*(1+(-T$11*0.232)),$O40/(1+(T$11*0.232)))))))</f>
        <v>#N/A</v>
      </c>
      <c r="U40" s="1170" t="e">
        <f>IF(U$10=0,0,IF('Regulação de polinização'!J138&gt;0,'Regulação de polinização'!J138,TRUNC(IF(U$11=0,$O40,IF(U$11&lt;0,$O40*(1+(-U$11*0.232)),$O40/(1+(U$11*0.232)))))))</f>
        <v>#N/A</v>
      </c>
      <c r="V40" s="1170" t="e">
        <f>IF(V$10=0,0,IF('Regulação de polinização'!K138&gt;0,'Regulação de polinização'!K138,TRUNC(IF(V$11=0,$O40,IF(V$11&lt;0,$O40*(1+(-V$11*0.232)),$O40/(1+(V$11*0.232)))))))</f>
        <v>#N/A</v>
      </c>
      <c r="W40" s="1170" t="e">
        <f>IF(W$10=0,0,IF('Regulação de polinização'!L138&gt;0,'Regulação de polinização'!L138,TRUNC(IF(W$11=0,$O40,IF(W$11&lt;0,$O40*(1+(-W$11*0.232)),$O40/(1+(W$11*0.232)))))))</f>
        <v>#N/A</v>
      </c>
      <c r="X40" s="1170" t="e">
        <f>IF(X$10=0,0,IF('Regulação de polinização'!M138&gt;0,'Regulação de polinização'!M138,TRUNC(IF(X$11=0,$O40,IF(X$11&lt;0,$O40*(1+(-X$11*0.232)),$O40/(1+(X$11*0.232)))))))</f>
        <v>#N/A</v>
      </c>
      <c r="Y40" s="1170" t="e">
        <f>IF(Y$10=0,0,IF('Regulação de polinização'!N138&gt;0,'Regulação de polinização'!N138,TRUNC(IF(Y$11=0,$O40,IF(Y$11&lt;0,$O40*(1+(-Y$11*0.232)),$O40/(1+(Y$11*0.232)))))))</f>
        <v>#N/A</v>
      </c>
      <c r="Z40" s="1170" t="e">
        <f>IF(Z$10=0,0,IF('Regulação de polinização'!O138&gt;0,'Regulação de polinização'!O138,TRUNC(IF(Z$11=0,$O40,IF(Z$11&lt;0,$O40*(1+(-Z$11*0.232)),$O40/(1+(Z$11*0.232)))))))</f>
        <v>#N/A</v>
      </c>
      <c r="AA40" s="1170" t="e">
        <f>IF('Regulação de polinização'!P138&gt;0,'Regulação de polinização'!P138,10^(-1.363+3.366*LOG10('Regulação de polinização'!Q138)))</f>
        <v>#NUM!</v>
      </c>
      <c r="AB40" s="1132"/>
      <c r="AC40" s="1132"/>
      <c r="AD40" s="1192" t="s">
        <v>905</v>
      </c>
      <c r="AE40" s="1193" t="s">
        <v>868</v>
      </c>
      <c r="AF40" s="1194">
        <v>2.9</v>
      </c>
      <c r="AG40" s="1195">
        <v>0.6</v>
      </c>
      <c r="AH40" s="1193">
        <v>1</v>
      </c>
      <c r="AI40" s="1134"/>
      <c r="AJ40" s="1134"/>
    </row>
    <row r="41" spans="2:36" x14ac:dyDescent="0.25">
      <c r="B41" s="575" t="s">
        <v>906</v>
      </c>
      <c r="C41" s="1122" t="s">
        <v>907</v>
      </c>
      <c r="D41" s="758" t="s">
        <v>723</v>
      </c>
      <c r="E41" s="758" t="s">
        <v>723</v>
      </c>
      <c r="F41" s="758">
        <v>7.5</v>
      </c>
      <c r="G41" s="1120">
        <f t="shared" si="1"/>
        <v>375000</v>
      </c>
      <c r="H41" s="758">
        <v>7</v>
      </c>
      <c r="I41" s="758" t="s">
        <v>723</v>
      </c>
      <c r="J41" s="758" t="s">
        <v>723</v>
      </c>
      <c r="K41" s="196"/>
      <c r="N41" s="1170">
        <f>'Regulação de polinização'!C139</f>
        <v>0</v>
      </c>
      <c r="O41" s="1170">
        <f>'Regulação de polinização'!D139</f>
        <v>0</v>
      </c>
      <c r="P41" s="1170" t="e">
        <f>IF(P$10=0,0,IF('Regulação de polinização'!E139&gt;0,'Regulação de polinização'!E139,TRUNC(IF(P$11=0,$O41,IF(P$11&lt;0,$O41*(1+(-P$11*0.232)),$O41/(1+(P$11*0.232)))))))</f>
        <v>#N/A</v>
      </c>
      <c r="Q41" s="1170" t="e">
        <f>IF(Q$10=0,0,IF('Regulação de polinização'!F139&gt;0,'Regulação de polinização'!F139,TRUNC(IF(Q$11=0,$O41,IF(Q$11&lt;0,$O41*(1+(-Q$11*0.232)),$O41/(1+(Q$11*0.232)))))))</f>
        <v>#N/A</v>
      </c>
      <c r="R41" s="1170" t="e">
        <f>IF(R$10=0,0,IF('Regulação de polinização'!G139&gt;0,'Regulação de polinização'!G139,TRUNC(IF(R$11=0,$O41,IF(R$11&lt;0,$O41*(1+(-R$11*0.232)),$O41/(1+(R$11*0.232)))))))</f>
        <v>#N/A</v>
      </c>
      <c r="S41" s="1170" t="e">
        <f>IF(S$10=0,0,IF('Regulação de polinização'!H139&gt;0,'Regulação de polinização'!H139,TRUNC(IF(S$11=0,$O41,IF(S$11&lt;0,$O41*(1+(-S$11*0.232)),$O41/(1+(S$11*0.232)))))))</f>
        <v>#N/A</v>
      </c>
      <c r="T41" s="1170" t="e">
        <f>IF(T$10=0,0,IF('Regulação de polinização'!I139&gt;0,'Regulação de polinização'!I139,TRUNC(IF(T$11=0,$O41,IF(T$11&lt;0,$O41*(1+(-T$11*0.232)),$O41/(1+(T$11*0.232)))))))</f>
        <v>#N/A</v>
      </c>
      <c r="U41" s="1170" t="e">
        <f>IF(U$10=0,0,IF('Regulação de polinização'!J139&gt;0,'Regulação de polinização'!J139,TRUNC(IF(U$11=0,$O41,IF(U$11&lt;0,$O41*(1+(-U$11*0.232)),$O41/(1+(U$11*0.232)))))))</f>
        <v>#N/A</v>
      </c>
      <c r="V41" s="1170" t="e">
        <f>IF(V$10=0,0,IF('Regulação de polinização'!K139&gt;0,'Regulação de polinização'!K139,TRUNC(IF(V$11=0,$O41,IF(V$11&lt;0,$O41*(1+(-V$11*0.232)),$O41/(1+(V$11*0.232)))))))</f>
        <v>#N/A</v>
      </c>
      <c r="W41" s="1170" t="e">
        <f>IF(W$10=0,0,IF('Regulação de polinização'!L139&gt;0,'Regulação de polinização'!L139,TRUNC(IF(W$11=0,$O41,IF(W$11&lt;0,$O41*(1+(-W$11*0.232)),$O41/(1+(W$11*0.232)))))))</f>
        <v>#N/A</v>
      </c>
      <c r="X41" s="1170" t="e">
        <f>IF(X$10=0,0,IF('Regulação de polinização'!M139&gt;0,'Regulação de polinização'!M139,TRUNC(IF(X$11=0,$O41,IF(X$11&lt;0,$O41*(1+(-X$11*0.232)),$O41/(1+(X$11*0.232)))))))</f>
        <v>#N/A</v>
      </c>
      <c r="Y41" s="1170" t="e">
        <f>IF(Y$10=0,0,IF('Regulação de polinização'!N139&gt;0,'Regulação de polinização'!N139,TRUNC(IF(Y$11=0,$O41,IF(Y$11&lt;0,$O41*(1+(-Y$11*0.232)),$O41/(1+(Y$11*0.232)))))))</f>
        <v>#N/A</v>
      </c>
      <c r="Z41" s="1170" t="e">
        <f>IF(Z$10=0,0,IF('Regulação de polinização'!O139&gt;0,'Regulação de polinização'!O139,TRUNC(IF(Z$11=0,$O41,IF(Z$11&lt;0,$O41*(1+(-Z$11*0.232)),$O41/(1+(Z$11*0.232)))))))</f>
        <v>#N/A</v>
      </c>
      <c r="AA41" s="1170" t="e">
        <f>IF('Regulação de polinização'!P139&gt;0,'Regulação de polinização'!P139,10^(-1.363+3.366*LOG10('Regulação de polinização'!Q139)))</f>
        <v>#NUM!</v>
      </c>
      <c r="AB41" s="1132"/>
      <c r="AC41" s="1132"/>
      <c r="AD41" s="1192" t="s">
        <v>908</v>
      </c>
      <c r="AE41" s="1193" t="s">
        <v>868</v>
      </c>
      <c r="AF41" s="1194">
        <v>2.8</v>
      </c>
      <c r="AG41" s="1195">
        <v>1.3</v>
      </c>
      <c r="AH41" s="1193">
        <v>1</v>
      </c>
      <c r="AI41" s="1134"/>
      <c r="AJ41" s="1134"/>
    </row>
    <row r="42" spans="2:36" x14ac:dyDescent="0.25">
      <c r="B42" s="575" t="s">
        <v>909</v>
      </c>
      <c r="C42" s="1122" t="s">
        <v>910</v>
      </c>
      <c r="D42" s="1119">
        <v>0.22</v>
      </c>
      <c r="E42" s="758">
        <v>7</v>
      </c>
      <c r="F42" s="758">
        <v>5</v>
      </c>
      <c r="G42" s="1120">
        <f t="shared" si="1"/>
        <v>250000</v>
      </c>
      <c r="H42" s="758">
        <v>7</v>
      </c>
      <c r="I42" s="758" t="s">
        <v>723</v>
      </c>
      <c r="J42" s="758" t="s">
        <v>723</v>
      </c>
      <c r="K42" s="196"/>
      <c r="N42" s="1170">
        <f>'Regulação de polinização'!C140</f>
        <v>0</v>
      </c>
      <c r="O42" s="1170">
        <f>'Regulação de polinização'!D140</f>
        <v>0</v>
      </c>
      <c r="P42" s="1170" t="e">
        <f>IF(P$10=0,0,IF('Regulação de polinização'!E140&gt;0,'Regulação de polinização'!E140,TRUNC(IF(P$11=0,$O42,IF(P$11&lt;0,$O42*(1+(-P$11*0.232)),$O42/(1+(P$11*0.232)))))))</f>
        <v>#N/A</v>
      </c>
      <c r="Q42" s="1170" t="e">
        <f>IF(Q$10=0,0,IF('Regulação de polinização'!F140&gt;0,'Regulação de polinização'!F140,TRUNC(IF(Q$11=0,$O42,IF(Q$11&lt;0,$O42*(1+(-Q$11*0.232)),$O42/(1+(Q$11*0.232)))))))</f>
        <v>#N/A</v>
      </c>
      <c r="R42" s="1170" t="e">
        <f>IF(R$10=0,0,IF('Regulação de polinização'!G140&gt;0,'Regulação de polinização'!G140,TRUNC(IF(R$11=0,$O42,IF(R$11&lt;0,$O42*(1+(-R$11*0.232)),$O42/(1+(R$11*0.232)))))))</f>
        <v>#N/A</v>
      </c>
      <c r="S42" s="1170" t="e">
        <f>IF(S$10=0,0,IF('Regulação de polinização'!H140&gt;0,'Regulação de polinização'!H140,TRUNC(IF(S$11=0,$O42,IF(S$11&lt;0,$O42*(1+(-S$11*0.232)),$O42/(1+(S$11*0.232)))))))</f>
        <v>#N/A</v>
      </c>
      <c r="T42" s="1170" t="e">
        <f>IF(T$10=0,0,IF('Regulação de polinização'!I140&gt;0,'Regulação de polinização'!I140,TRUNC(IF(T$11=0,$O42,IF(T$11&lt;0,$O42*(1+(-T$11*0.232)),$O42/(1+(T$11*0.232)))))))</f>
        <v>#N/A</v>
      </c>
      <c r="U42" s="1170" t="e">
        <f>IF(U$10=0,0,IF('Regulação de polinização'!J140&gt;0,'Regulação de polinização'!J140,TRUNC(IF(U$11=0,$O42,IF(U$11&lt;0,$O42*(1+(-U$11*0.232)),$O42/(1+(U$11*0.232)))))))</f>
        <v>#N/A</v>
      </c>
      <c r="V42" s="1170" t="e">
        <f>IF(V$10=0,0,IF('Regulação de polinização'!K140&gt;0,'Regulação de polinização'!K140,TRUNC(IF(V$11=0,$O42,IF(V$11&lt;0,$O42*(1+(-V$11*0.232)),$O42/(1+(V$11*0.232)))))))</f>
        <v>#N/A</v>
      </c>
      <c r="W42" s="1170" t="e">
        <f>IF(W$10=0,0,IF('Regulação de polinização'!L140&gt;0,'Regulação de polinização'!L140,TRUNC(IF(W$11=0,$O42,IF(W$11&lt;0,$O42*(1+(-W$11*0.232)),$O42/(1+(W$11*0.232)))))))</f>
        <v>#N/A</v>
      </c>
      <c r="X42" s="1170" t="e">
        <f>IF(X$10=0,0,IF('Regulação de polinização'!M140&gt;0,'Regulação de polinização'!M140,TRUNC(IF(X$11=0,$O42,IF(X$11&lt;0,$O42*(1+(-X$11*0.232)),$O42/(1+(X$11*0.232)))))))</f>
        <v>#N/A</v>
      </c>
      <c r="Y42" s="1170" t="e">
        <f>IF(Y$10=0,0,IF('Regulação de polinização'!N140&gt;0,'Regulação de polinização'!N140,TRUNC(IF(Y$11=0,$O42,IF(Y$11&lt;0,$O42*(1+(-Y$11*0.232)),$O42/(1+(Y$11*0.232)))))))</f>
        <v>#N/A</v>
      </c>
      <c r="Z42" s="1170" t="e">
        <f>IF(Z$10=0,0,IF('Regulação de polinização'!O140&gt;0,'Regulação de polinização'!O140,TRUNC(IF(Z$11=0,$O42,IF(Z$11&lt;0,$O42*(1+(-Z$11*0.232)),$O42/(1+(Z$11*0.232)))))))</f>
        <v>#N/A</v>
      </c>
      <c r="AA42" s="1170" t="e">
        <f>IF('Regulação de polinização'!P140&gt;0,'Regulação de polinização'!P140,10^(-1.363+3.366*LOG10('Regulação de polinização'!Q140)))</f>
        <v>#NUM!</v>
      </c>
      <c r="AB42" s="1132"/>
      <c r="AC42" s="1132"/>
      <c r="AD42" s="1192" t="s">
        <v>911</v>
      </c>
      <c r="AE42" s="1193" t="s">
        <v>868</v>
      </c>
      <c r="AF42" s="1194">
        <v>1.9</v>
      </c>
      <c r="AG42" s="1195">
        <v>0.3</v>
      </c>
      <c r="AH42" s="1193">
        <v>1</v>
      </c>
      <c r="AI42" s="1134"/>
      <c r="AJ42" s="1134"/>
    </row>
    <row r="43" spans="2:36" x14ac:dyDescent="0.25">
      <c r="B43" s="575" t="s">
        <v>912</v>
      </c>
      <c r="C43" s="1122" t="s">
        <v>913</v>
      </c>
      <c r="D43" s="1119">
        <v>0.75</v>
      </c>
      <c r="E43" s="758">
        <v>7</v>
      </c>
      <c r="F43" s="758">
        <v>10</v>
      </c>
      <c r="G43" s="1120">
        <f t="shared" si="1"/>
        <v>500000</v>
      </c>
      <c r="H43" s="758">
        <v>7</v>
      </c>
      <c r="I43" s="758" t="s">
        <v>723</v>
      </c>
      <c r="J43" s="758" t="s">
        <v>723</v>
      </c>
      <c r="K43" s="196"/>
      <c r="N43" s="1184" t="s">
        <v>1496</v>
      </c>
      <c r="O43" s="1185">
        <f t="shared" ref="O43:Z43" si="3">SUM(O13:O42)</f>
        <v>0</v>
      </c>
      <c r="P43" s="1185" t="e">
        <f t="shared" si="3"/>
        <v>#N/A</v>
      </c>
      <c r="Q43" s="1185" t="e">
        <f t="shared" si="3"/>
        <v>#N/A</v>
      </c>
      <c r="R43" s="1185" t="e">
        <f t="shared" si="3"/>
        <v>#N/A</v>
      </c>
      <c r="S43" s="1185" t="e">
        <f t="shared" si="3"/>
        <v>#N/A</v>
      </c>
      <c r="T43" s="1185" t="e">
        <f t="shared" si="3"/>
        <v>#N/A</v>
      </c>
      <c r="U43" s="1185" t="e">
        <f t="shared" si="3"/>
        <v>#N/A</v>
      </c>
      <c r="V43" s="1185" t="e">
        <f t="shared" si="3"/>
        <v>#N/A</v>
      </c>
      <c r="W43" s="1185" t="e">
        <f t="shared" si="3"/>
        <v>#N/A</v>
      </c>
      <c r="X43" s="1185" t="e">
        <f t="shared" si="3"/>
        <v>#N/A</v>
      </c>
      <c r="Y43" s="1185" t="e">
        <f t="shared" si="3"/>
        <v>#N/A</v>
      </c>
      <c r="Z43" s="1185" t="e">
        <f t="shared" si="3"/>
        <v>#N/A</v>
      </c>
      <c r="AB43" s="1132"/>
      <c r="AC43" s="1132"/>
      <c r="AD43" s="1192" t="s">
        <v>914</v>
      </c>
      <c r="AE43" s="1193" t="s">
        <v>868</v>
      </c>
      <c r="AF43" s="1194">
        <v>4.5</v>
      </c>
      <c r="AG43" s="1195">
        <v>6.6</v>
      </c>
      <c r="AH43" s="1193">
        <v>1</v>
      </c>
      <c r="AI43" s="1134"/>
      <c r="AJ43" s="1134"/>
    </row>
    <row r="44" spans="2:36" x14ac:dyDescent="0.25">
      <c r="B44" s="575" t="s">
        <v>915</v>
      </c>
      <c r="C44" s="1122" t="s">
        <v>916</v>
      </c>
      <c r="D44" s="1119">
        <v>0.28999999999999998</v>
      </c>
      <c r="E44" s="758">
        <v>7</v>
      </c>
      <c r="F44" s="758" t="s">
        <v>723</v>
      </c>
      <c r="G44" s="1127" t="s">
        <v>723</v>
      </c>
      <c r="H44" s="758" t="s">
        <v>723</v>
      </c>
      <c r="I44" s="758" t="s">
        <v>723</v>
      </c>
      <c r="J44" s="758" t="s">
        <v>723</v>
      </c>
      <c r="K44" s="196"/>
      <c r="AA44" s="432"/>
      <c r="AB44" s="1132"/>
      <c r="AC44" s="1132"/>
      <c r="AD44" s="1192" t="s">
        <v>917</v>
      </c>
      <c r="AE44" s="1193" t="s">
        <v>868</v>
      </c>
      <c r="AF44" s="1194">
        <v>2.4</v>
      </c>
      <c r="AG44" s="1195">
        <v>0.8</v>
      </c>
      <c r="AH44" s="1193">
        <v>1</v>
      </c>
      <c r="AI44" s="1134"/>
      <c r="AJ44" s="1134"/>
    </row>
    <row r="45" spans="2:36" x14ac:dyDescent="0.25">
      <c r="B45" s="575" t="s">
        <v>918</v>
      </c>
      <c r="C45" s="1122" t="s">
        <v>919</v>
      </c>
      <c r="D45" s="1119">
        <v>0.8</v>
      </c>
      <c r="E45" s="758">
        <v>7</v>
      </c>
      <c r="F45" s="758">
        <v>1.5</v>
      </c>
      <c r="G45" s="1120">
        <f t="shared" si="1"/>
        <v>75000</v>
      </c>
      <c r="H45" s="758">
        <v>7</v>
      </c>
      <c r="I45" s="758" t="s">
        <v>723</v>
      </c>
      <c r="J45" s="758" t="s">
        <v>723</v>
      </c>
      <c r="K45" s="196"/>
      <c r="N45" s="1128" t="s">
        <v>920</v>
      </c>
      <c r="O45" s="12" t="s">
        <v>921</v>
      </c>
      <c r="AB45" s="1132"/>
      <c r="AC45" s="1132"/>
      <c r="AD45" s="1192" t="s">
        <v>922</v>
      </c>
      <c r="AE45" s="1193" t="s">
        <v>868</v>
      </c>
      <c r="AF45" s="1194">
        <v>4.3</v>
      </c>
      <c r="AG45" s="1195">
        <v>5.9</v>
      </c>
      <c r="AH45" s="1193">
        <v>1</v>
      </c>
      <c r="AI45" s="1134"/>
      <c r="AJ45" s="1134"/>
    </row>
    <row r="46" spans="2:36" x14ac:dyDescent="0.25">
      <c r="B46" s="575" t="s">
        <v>923</v>
      </c>
      <c r="C46" s="1122" t="s">
        <v>924</v>
      </c>
      <c r="D46" s="1119">
        <v>0.27</v>
      </c>
      <c r="E46" s="758">
        <v>7</v>
      </c>
      <c r="F46" s="758">
        <v>1.5</v>
      </c>
      <c r="G46" s="1120">
        <f t="shared" si="1"/>
        <v>75000</v>
      </c>
      <c r="H46" s="758">
        <v>7</v>
      </c>
      <c r="I46" s="758" t="s">
        <v>723</v>
      </c>
      <c r="J46" s="758" t="s">
        <v>723</v>
      </c>
      <c r="K46" s="196"/>
      <c r="AB46" s="1132"/>
      <c r="AC46" s="1132"/>
      <c r="AD46" s="1192" t="s">
        <v>765</v>
      </c>
      <c r="AE46" s="1193" t="s">
        <v>830</v>
      </c>
      <c r="AF46" s="1194">
        <v>2.9</v>
      </c>
      <c r="AG46" s="1195">
        <v>1.5</v>
      </c>
      <c r="AH46" s="1193">
        <v>1</v>
      </c>
      <c r="AI46" s="1134"/>
      <c r="AJ46" s="1134"/>
    </row>
    <row r="47" spans="2:36" ht="15.75" x14ac:dyDescent="0.25">
      <c r="B47" s="575" t="s">
        <v>925</v>
      </c>
      <c r="C47" s="1122" t="s">
        <v>926</v>
      </c>
      <c r="D47" s="1119">
        <v>0.48</v>
      </c>
      <c r="E47" s="758">
        <v>7</v>
      </c>
      <c r="F47" s="758">
        <v>3</v>
      </c>
      <c r="G47" s="1120">
        <f t="shared" si="1"/>
        <v>150000</v>
      </c>
      <c r="H47" s="758">
        <v>7</v>
      </c>
      <c r="I47" s="758" t="s">
        <v>723</v>
      </c>
      <c r="J47" s="758" t="s">
        <v>723</v>
      </c>
      <c r="K47" s="196"/>
      <c r="N47" s="1174" t="s">
        <v>927</v>
      </c>
      <c r="O47" s="1174"/>
      <c r="P47" s="1174"/>
      <c r="Q47" s="1174"/>
      <c r="R47" s="1174"/>
      <c r="S47" s="1174"/>
      <c r="T47" s="1174"/>
      <c r="U47" s="1174"/>
      <c r="V47" s="1174"/>
      <c r="W47" s="1174"/>
      <c r="X47" s="1174"/>
      <c r="Y47" s="1174"/>
      <c r="Z47" s="1174"/>
      <c r="AA47" s="1174"/>
      <c r="AB47" s="1132"/>
      <c r="AC47" s="1132"/>
      <c r="AD47" s="1192" t="s">
        <v>928</v>
      </c>
      <c r="AE47" s="1193" t="s">
        <v>830</v>
      </c>
      <c r="AF47" s="1194">
        <v>1.5</v>
      </c>
      <c r="AG47" s="1195">
        <v>0.2</v>
      </c>
      <c r="AH47" s="1193">
        <v>1</v>
      </c>
      <c r="AI47" s="1134"/>
      <c r="AJ47" s="1134"/>
    </row>
    <row r="48" spans="2:36" x14ac:dyDescent="0.25">
      <c r="B48" s="575" t="s">
        <v>929</v>
      </c>
      <c r="C48" s="1122" t="s">
        <v>930</v>
      </c>
      <c r="D48" s="1119">
        <v>0.09</v>
      </c>
      <c r="E48" s="758">
        <v>7</v>
      </c>
      <c r="F48" s="758">
        <v>8</v>
      </c>
      <c r="G48" s="1120">
        <f t="shared" si="1"/>
        <v>400000</v>
      </c>
      <c r="H48" s="758">
        <v>7</v>
      </c>
      <c r="I48" s="758" t="s">
        <v>723</v>
      </c>
      <c r="J48" s="758" t="s">
        <v>723</v>
      </c>
      <c r="K48" s="196"/>
      <c r="AB48" s="1132"/>
      <c r="AC48" s="1132"/>
      <c r="AD48" s="1192" t="s">
        <v>931</v>
      </c>
      <c r="AE48" s="1193" t="s">
        <v>830</v>
      </c>
      <c r="AF48" s="1194">
        <v>2.9</v>
      </c>
      <c r="AG48" s="1195">
        <v>1.5</v>
      </c>
      <c r="AH48" s="1193">
        <v>1</v>
      </c>
      <c r="AI48" s="1134"/>
      <c r="AJ48" s="1134"/>
    </row>
    <row r="49" spans="1:36" x14ac:dyDescent="0.25">
      <c r="B49" s="575" t="s">
        <v>932</v>
      </c>
      <c r="C49" s="1122" t="s">
        <v>933</v>
      </c>
      <c r="D49" s="1119">
        <v>0.53</v>
      </c>
      <c r="E49" s="758">
        <v>7</v>
      </c>
      <c r="F49" s="758">
        <v>1</v>
      </c>
      <c r="G49" s="1120">
        <f t="shared" si="1"/>
        <v>50000</v>
      </c>
      <c r="H49" s="758">
        <v>7</v>
      </c>
      <c r="I49" s="758" t="s">
        <v>723</v>
      </c>
      <c r="J49" s="758" t="s">
        <v>723</v>
      </c>
      <c r="K49" s="196"/>
      <c r="N49" s="1129" t="s">
        <v>934</v>
      </c>
      <c r="O49" s="1129"/>
      <c r="P49" s="1129"/>
      <c r="Q49" s="1129"/>
      <c r="R49" s="1129"/>
      <c r="S49" s="1129"/>
      <c r="T49" s="1129"/>
      <c r="U49" s="1129"/>
      <c r="V49" s="1129"/>
      <c r="W49" s="1129"/>
      <c r="X49" s="1129"/>
      <c r="Y49" s="1129"/>
      <c r="Z49" s="1129"/>
      <c r="AA49" s="1129"/>
      <c r="AB49" s="1132"/>
      <c r="AC49" s="1132"/>
      <c r="AD49" s="1197" t="s">
        <v>935</v>
      </c>
      <c r="AE49" s="1193" t="s">
        <v>830</v>
      </c>
      <c r="AF49" s="1194">
        <v>1.4</v>
      </c>
      <c r="AG49" s="1195">
        <v>0.1</v>
      </c>
      <c r="AH49" s="1198">
        <v>1</v>
      </c>
      <c r="AI49" s="1134"/>
      <c r="AJ49" s="1134"/>
    </row>
    <row r="50" spans="1:36" x14ac:dyDescent="0.25">
      <c r="B50" s="575" t="s">
        <v>936</v>
      </c>
      <c r="C50" s="1122" t="s">
        <v>937</v>
      </c>
      <c r="D50" s="1119">
        <v>0.33</v>
      </c>
      <c r="E50" s="758">
        <v>7</v>
      </c>
      <c r="F50" s="758">
        <v>1</v>
      </c>
      <c r="G50" s="1120">
        <f t="shared" si="1"/>
        <v>50000</v>
      </c>
      <c r="H50" s="758">
        <v>7</v>
      </c>
      <c r="I50" s="758" t="s">
        <v>723</v>
      </c>
      <c r="J50" s="758" t="s">
        <v>723</v>
      </c>
      <c r="K50" s="196"/>
      <c r="AB50" s="1132"/>
      <c r="AC50" s="1132"/>
      <c r="AD50" s="1192" t="s">
        <v>938</v>
      </c>
      <c r="AE50" s="1193" t="s">
        <v>892</v>
      </c>
      <c r="AF50" s="1194">
        <v>2.7</v>
      </c>
      <c r="AG50" s="1195">
        <v>1.2</v>
      </c>
      <c r="AH50" s="1193">
        <v>1</v>
      </c>
      <c r="AI50" s="1134"/>
      <c r="AJ50" s="1134"/>
    </row>
    <row r="51" spans="1:36" ht="16.5" x14ac:dyDescent="0.3">
      <c r="B51" s="575" t="s">
        <v>939</v>
      </c>
      <c r="C51" s="1122" t="s">
        <v>940</v>
      </c>
      <c r="D51" s="758" t="s">
        <v>723</v>
      </c>
      <c r="E51" s="758" t="s">
        <v>723</v>
      </c>
      <c r="F51" s="758">
        <v>2.5</v>
      </c>
      <c r="G51" s="1120">
        <f t="shared" si="1"/>
        <v>125000</v>
      </c>
      <c r="H51" s="758">
        <v>7</v>
      </c>
      <c r="I51" s="758" t="s">
        <v>723</v>
      </c>
      <c r="J51" s="758" t="s">
        <v>723</v>
      </c>
      <c r="K51" s="196"/>
      <c r="N51" s="1167" t="s">
        <v>1500</v>
      </c>
      <c r="O51" s="1170" t="e">
        <f>IF('Regulação de polinização'!$K$17&gt;0,((('Regulação de polinização'!$K$17/'Regulação de polinização'!K16)-1)*100),VLOOKUP('Regulação de polinização'!$K$12,$B$5:$D$59,3,FALSE))</f>
        <v>#N/A</v>
      </c>
      <c r="P51" s="1130"/>
      <c r="AB51" s="1132"/>
      <c r="AC51" s="1132"/>
      <c r="AD51" s="1197" t="s">
        <v>941</v>
      </c>
      <c r="AE51" s="1193" t="s">
        <v>868</v>
      </c>
      <c r="AF51" s="1194">
        <v>2.9</v>
      </c>
      <c r="AG51" s="1195">
        <v>0.8</v>
      </c>
      <c r="AH51" s="1198">
        <v>1</v>
      </c>
      <c r="AI51" s="1134"/>
      <c r="AJ51" s="1134"/>
    </row>
    <row r="52" spans="1:36" x14ac:dyDescent="0.25">
      <c r="B52" s="575" t="s">
        <v>942</v>
      </c>
      <c r="C52" s="1122" t="s">
        <v>943</v>
      </c>
      <c r="D52" s="1119">
        <v>0.1</v>
      </c>
      <c r="E52" s="758">
        <v>7</v>
      </c>
      <c r="F52" s="758" t="s">
        <v>723</v>
      </c>
      <c r="G52" s="1127" t="s">
        <v>723</v>
      </c>
      <c r="H52" s="758" t="s">
        <v>723</v>
      </c>
      <c r="I52" s="758" t="s">
        <v>723</v>
      </c>
      <c r="J52" s="758" t="s">
        <v>723</v>
      </c>
      <c r="K52" s="196"/>
      <c r="AB52" s="1132"/>
      <c r="AC52" s="1132"/>
      <c r="AD52" s="1192" t="s">
        <v>944</v>
      </c>
      <c r="AE52" s="1193" t="s">
        <v>868</v>
      </c>
      <c r="AF52" s="1194">
        <v>2.9</v>
      </c>
      <c r="AG52" s="1195">
        <v>1.6</v>
      </c>
      <c r="AH52" s="1193">
        <v>1</v>
      </c>
      <c r="AI52" s="1134"/>
      <c r="AJ52" s="1134"/>
    </row>
    <row r="53" spans="1:36" x14ac:dyDescent="0.25">
      <c r="B53" s="575" t="s">
        <v>945</v>
      </c>
      <c r="C53" s="1122" t="s">
        <v>882</v>
      </c>
      <c r="D53" s="1119">
        <v>0.6</v>
      </c>
      <c r="E53" s="758">
        <v>7</v>
      </c>
      <c r="F53" s="758">
        <v>3</v>
      </c>
      <c r="G53" s="1120">
        <f t="shared" si="1"/>
        <v>150000</v>
      </c>
      <c r="H53" s="758">
        <v>7</v>
      </c>
      <c r="I53" s="758" t="s">
        <v>723</v>
      </c>
      <c r="J53" s="758" t="s">
        <v>723</v>
      </c>
      <c r="K53" s="196"/>
      <c r="AB53" s="1132"/>
      <c r="AC53" s="1132"/>
      <c r="AD53" s="1192" t="s">
        <v>946</v>
      </c>
      <c r="AE53" s="1193" t="s">
        <v>868</v>
      </c>
      <c r="AF53" s="1194">
        <v>2.9</v>
      </c>
      <c r="AG53" s="1195">
        <v>1.6</v>
      </c>
      <c r="AH53" s="1193">
        <v>1</v>
      </c>
      <c r="AI53" s="1134"/>
      <c r="AJ53" s="1134"/>
    </row>
    <row r="54" spans="1:36" ht="15.75" customHeight="1" x14ac:dyDescent="0.25">
      <c r="B54" s="575" t="s">
        <v>947</v>
      </c>
      <c r="C54" s="1122" t="s">
        <v>948</v>
      </c>
      <c r="D54" s="758" t="s">
        <v>723</v>
      </c>
      <c r="E54" s="758" t="s">
        <v>723</v>
      </c>
      <c r="F54" s="758">
        <v>3.5</v>
      </c>
      <c r="G54" s="1120">
        <f t="shared" si="1"/>
        <v>175000</v>
      </c>
      <c r="H54" s="758">
        <v>7</v>
      </c>
      <c r="I54" s="758" t="s">
        <v>723</v>
      </c>
      <c r="J54" s="758" t="s">
        <v>723</v>
      </c>
      <c r="K54" s="196"/>
      <c r="AB54" s="1132"/>
      <c r="AC54" s="1132"/>
      <c r="AD54" s="1192" t="s">
        <v>949</v>
      </c>
      <c r="AE54" s="1193" t="s">
        <v>868</v>
      </c>
      <c r="AF54" s="1194">
        <v>3.5</v>
      </c>
      <c r="AG54" s="1195">
        <v>2.9</v>
      </c>
      <c r="AH54" s="1193">
        <v>1</v>
      </c>
      <c r="AI54" s="1134"/>
      <c r="AJ54" s="1134"/>
    </row>
    <row r="55" spans="1:36" x14ac:dyDescent="0.25">
      <c r="B55" s="575" t="s">
        <v>1556</v>
      </c>
      <c r="C55" s="1122" t="s">
        <v>950</v>
      </c>
      <c r="D55" s="1119">
        <v>0.9</v>
      </c>
      <c r="E55" s="758">
        <v>7</v>
      </c>
      <c r="F55" s="758" t="s">
        <v>723</v>
      </c>
      <c r="G55" s="1127" t="s">
        <v>723</v>
      </c>
      <c r="H55" s="758" t="s">
        <v>723</v>
      </c>
      <c r="I55" s="758" t="s">
        <v>723</v>
      </c>
      <c r="J55" s="758" t="s">
        <v>723</v>
      </c>
      <c r="K55" s="196"/>
      <c r="AB55" s="1132"/>
      <c r="AC55" s="1132"/>
      <c r="AD55" s="1192" t="s">
        <v>951</v>
      </c>
      <c r="AE55" s="1193" t="s">
        <v>868</v>
      </c>
      <c r="AF55" s="1194">
        <v>3.3</v>
      </c>
      <c r="AG55" s="1195">
        <v>2.5</v>
      </c>
      <c r="AH55" s="1193">
        <v>1</v>
      </c>
      <c r="AI55" s="1134"/>
      <c r="AJ55" s="1134"/>
    </row>
    <row r="56" spans="1:36" x14ac:dyDescent="0.25">
      <c r="B56" s="575" t="s">
        <v>952</v>
      </c>
      <c r="C56" s="1122" t="s">
        <v>953</v>
      </c>
      <c r="D56" s="1119">
        <v>0.18</v>
      </c>
      <c r="E56" s="758">
        <v>7</v>
      </c>
      <c r="F56" s="758" t="s">
        <v>723</v>
      </c>
      <c r="G56" s="1127" t="s">
        <v>723</v>
      </c>
      <c r="H56" s="758" t="s">
        <v>723</v>
      </c>
      <c r="I56" s="758" t="s">
        <v>723</v>
      </c>
      <c r="J56" s="758" t="s">
        <v>723</v>
      </c>
      <c r="K56" s="196"/>
      <c r="AB56" s="1132"/>
      <c r="AC56" s="1132"/>
      <c r="AD56" s="1192" t="s">
        <v>954</v>
      </c>
      <c r="AE56" s="1193" t="s">
        <v>868</v>
      </c>
      <c r="AF56" s="1194">
        <v>3.3</v>
      </c>
      <c r="AG56" s="1195">
        <v>2.2999999999999998</v>
      </c>
      <c r="AH56" s="1193">
        <v>1</v>
      </c>
      <c r="AI56" s="1134"/>
      <c r="AJ56" s="1134"/>
    </row>
    <row r="57" spans="1:36" x14ac:dyDescent="0.25">
      <c r="B57" s="575" t="s">
        <v>955</v>
      </c>
      <c r="C57" s="1122" t="s">
        <v>956</v>
      </c>
      <c r="D57" s="1119">
        <v>0.5</v>
      </c>
      <c r="E57" s="758">
        <v>7</v>
      </c>
      <c r="F57" s="758">
        <v>2.5</v>
      </c>
      <c r="G57" s="1120">
        <f t="shared" ref="G57:G58" si="4">F57*50000</f>
        <v>125000</v>
      </c>
      <c r="H57" s="758">
        <v>7</v>
      </c>
      <c r="I57" s="758" t="s">
        <v>723</v>
      </c>
      <c r="J57" s="758" t="s">
        <v>723</v>
      </c>
      <c r="K57" s="196"/>
      <c r="AB57" s="1132"/>
      <c r="AC57" s="1132"/>
      <c r="AD57" s="1192" t="s">
        <v>957</v>
      </c>
      <c r="AE57" s="1193" t="s">
        <v>812</v>
      </c>
      <c r="AF57" s="1194">
        <v>2.2000000000000002</v>
      </c>
      <c r="AG57" s="1195">
        <v>0.6</v>
      </c>
      <c r="AH57" s="1193">
        <v>1</v>
      </c>
      <c r="AI57" s="1134"/>
      <c r="AJ57" s="1134"/>
    </row>
    <row r="58" spans="1:36" x14ac:dyDescent="0.25">
      <c r="B58" s="575" t="s">
        <v>958</v>
      </c>
      <c r="C58" s="1122" t="s">
        <v>959</v>
      </c>
      <c r="D58" s="1119">
        <v>0.78</v>
      </c>
      <c r="E58" s="758">
        <v>7</v>
      </c>
      <c r="F58" s="758">
        <v>6.5</v>
      </c>
      <c r="G58" s="1120">
        <f t="shared" si="4"/>
        <v>325000</v>
      </c>
      <c r="H58" s="758">
        <v>7</v>
      </c>
      <c r="I58" s="758" t="s">
        <v>723</v>
      </c>
      <c r="J58" s="758" t="s">
        <v>723</v>
      </c>
      <c r="K58" s="196"/>
      <c r="AB58" s="1132"/>
      <c r="AC58" s="1132"/>
      <c r="AD58" s="1197" t="s">
        <v>960</v>
      </c>
      <c r="AE58" s="1193" t="s">
        <v>830</v>
      </c>
      <c r="AF58" s="1194">
        <v>1.8</v>
      </c>
      <c r="AG58" s="1195">
        <v>0.5</v>
      </c>
      <c r="AH58" s="1198">
        <v>1</v>
      </c>
      <c r="AI58" s="1134"/>
      <c r="AJ58" s="1134"/>
    </row>
    <row r="59" spans="1:36" x14ac:dyDescent="0.25">
      <c r="B59" s="575" t="s">
        <v>961</v>
      </c>
      <c r="C59" s="1122" t="s">
        <v>962</v>
      </c>
      <c r="D59" s="1119">
        <v>0.09</v>
      </c>
      <c r="E59" s="758">
        <v>7</v>
      </c>
      <c r="F59" s="758" t="s">
        <v>723</v>
      </c>
      <c r="G59" s="1127" t="s">
        <v>723</v>
      </c>
      <c r="H59" s="758" t="s">
        <v>723</v>
      </c>
      <c r="I59" s="758" t="s">
        <v>723</v>
      </c>
      <c r="J59" s="758" t="s">
        <v>723</v>
      </c>
      <c r="K59" s="1086"/>
      <c r="AB59" s="1132"/>
      <c r="AC59" s="1132"/>
      <c r="AD59" s="1197" t="s">
        <v>963</v>
      </c>
      <c r="AE59" s="1193" t="s">
        <v>830</v>
      </c>
      <c r="AF59" s="1196">
        <v>1</v>
      </c>
      <c r="AG59" s="1195">
        <v>0.5</v>
      </c>
      <c r="AH59" s="1198">
        <v>1</v>
      </c>
      <c r="AI59" s="1134"/>
      <c r="AJ59" s="1134"/>
    </row>
    <row r="60" spans="1:36" x14ac:dyDescent="0.25">
      <c r="B60" s="1131" t="s">
        <v>1216</v>
      </c>
      <c r="C60" s="1126"/>
      <c r="D60" s="758"/>
      <c r="E60" s="758"/>
      <c r="F60" s="758"/>
      <c r="G60" s="1120"/>
      <c r="H60" s="758"/>
      <c r="I60" s="758"/>
      <c r="J60" s="758"/>
      <c r="K60" s="196"/>
      <c r="AB60" s="1132"/>
      <c r="AC60" s="1132"/>
      <c r="AD60" s="1192" t="s">
        <v>964</v>
      </c>
      <c r="AE60" s="1193" t="s">
        <v>830</v>
      </c>
      <c r="AF60" s="1196">
        <v>2</v>
      </c>
      <c r="AG60" s="1195">
        <v>0.4</v>
      </c>
      <c r="AH60" s="1193">
        <v>1</v>
      </c>
      <c r="AI60" s="1134"/>
      <c r="AJ60" s="1134"/>
    </row>
    <row r="61" spans="1:36" x14ac:dyDescent="0.25">
      <c r="B61" s="1131" t="s">
        <v>12</v>
      </c>
      <c r="C61" s="575"/>
      <c r="D61" s="575"/>
      <c r="E61" s="575"/>
      <c r="F61" s="1120"/>
      <c r="G61" s="575"/>
      <c r="H61" s="575"/>
      <c r="I61" s="575"/>
      <c r="J61" s="575"/>
      <c r="AB61" s="1132"/>
      <c r="AC61" s="1132"/>
      <c r="AD61" s="1192" t="s">
        <v>965</v>
      </c>
      <c r="AE61" s="1193" t="s">
        <v>892</v>
      </c>
      <c r="AF61" s="1194">
        <v>2.1</v>
      </c>
      <c r="AG61" s="1195">
        <v>0.6</v>
      </c>
      <c r="AH61" s="1193">
        <v>1</v>
      </c>
      <c r="AI61" s="1134"/>
      <c r="AJ61" s="1134"/>
    </row>
    <row r="62" spans="1:36" x14ac:dyDescent="0.25">
      <c r="B62" s="12" t="s">
        <v>1482</v>
      </c>
      <c r="AB62" s="1132"/>
      <c r="AC62" s="1132"/>
      <c r="AD62" s="1197" t="s">
        <v>764</v>
      </c>
      <c r="AE62" s="1193" t="s">
        <v>830</v>
      </c>
      <c r="AF62" s="1196">
        <v>1</v>
      </c>
      <c r="AG62" s="1195">
        <v>0.7</v>
      </c>
      <c r="AH62" s="1198">
        <v>1</v>
      </c>
      <c r="AI62" s="1134"/>
      <c r="AJ62" s="1134"/>
    </row>
    <row r="63" spans="1:36" x14ac:dyDescent="0.25">
      <c r="AB63" s="1132"/>
      <c r="AC63" s="1132"/>
      <c r="AD63" s="1192" t="s">
        <v>966</v>
      </c>
      <c r="AE63" s="1193" t="s">
        <v>830</v>
      </c>
      <c r="AF63" s="1196">
        <v>3.1</v>
      </c>
      <c r="AG63" s="1195">
        <v>2</v>
      </c>
      <c r="AH63" s="1193">
        <v>1</v>
      </c>
      <c r="AI63" s="1134"/>
      <c r="AJ63" s="1134"/>
    </row>
    <row r="64" spans="1:36" x14ac:dyDescent="0.25">
      <c r="A64" s="12">
        <v>1</v>
      </c>
      <c r="B64" s="12" t="s">
        <v>967</v>
      </c>
      <c r="AB64" s="1132"/>
      <c r="AC64" s="1132"/>
      <c r="AD64" s="1197" t="s">
        <v>968</v>
      </c>
      <c r="AE64" s="1193" t="s">
        <v>830</v>
      </c>
      <c r="AF64" s="1194">
        <v>2.1</v>
      </c>
      <c r="AG64" s="1195">
        <v>0.4</v>
      </c>
      <c r="AH64" s="1198">
        <v>1</v>
      </c>
      <c r="AI64" s="1134"/>
      <c r="AJ64" s="1134"/>
    </row>
    <row r="65" spans="1:36" x14ac:dyDescent="0.25">
      <c r="C65" s="12" t="s">
        <v>969</v>
      </c>
      <c r="N65" s="1129" t="s">
        <v>970</v>
      </c>
      <c r="O65" s="1129"/>
      <c r="P65" s="1129"/>
      <c r="Q65" s="1129"/>
      <c r="R65" s="1129"/>
      <c r="S65" s="1129"/>
      <c r="T65" s="1129"/>
      <c r="U65" s="1129"/>
      <c r="V65" s="1129"/>
      <c r="W65" s="1129"/>
      <c r="X65" s="1129"/>
      <c r="Y65" s="1129"/>
      <c r="Z65" s="1129"/>
      <c r="AA65" s="1129"/>
      <c r="AB65" s="1132"/>
      <c r="AC65" s="1132"/>
      <c r="AD65" s="1197" t="s">
        <v>971</v>
      </c>
      <c r="AE65" s="1193" t="s">
        <v>830</v>
      </c>
      <c r="AF65" s="1194">
        <v>2.2999999999999998</v>
      </c>
      <c r="AG65" s="1195">
        <v>1</v>
      </c>
      <c r="AH65" s="1198">
        <v>1</v>
      </c>
      <c r="AI65" s="1134"/>
      <c r="AJ65" s="1134"/>
    </row>
    <row r="66" spans="1:36" x14ac:dyDescent="0.25">
      <c r="C66" s="12" t="s">
        <v>972</v>
      </c>
      <c r="AB66" s="1132"/>
      <c r="AC66" s="1132"/>
      <c r="AD66" s="1197" t="s">
        <v>973</v>
      </c>
      <c r="AE66" s="1193" t="s">
        <v>830</v>
      </c>
      <c r="AF66" s="1194">
        <v>1.5</v>
      </c>
      <c r="AG66" s="1195">
        <v>0.3</v>
      </c>
      <c r="AH66" s="1198">
        <v>1</v>
      </c>
      <c r="AI66" s="1134"/>
      <c r="AJ66" s="1134"/>
    </row>
    <row r="67" spans="1:36" x14ac:dyDescent="0.25">
      <c r="C67" s="12" t="s">
        <v>974</v>
      </c>
      <c r="O67" s="1161" t="s">
        <v>1493</v>
      </c>
      <c r="P67" s="1162"/>
      <c r="Q67" s="1162"/>
      <c r="R67" s="1162"/>
      <c r="S67" s="1162"/>
      <c r="T67" s="1162"/>
      <c r="U67" s="1162"/>
      <c r="V67" s="1162"/>
      <c r="W67" s="1162"/>
      <c r="X67" s="1162"/>
      <c r="Y67" s="1162"/>
      <c r="Z67" s="1162"/>
      <c r="AA67" s="1898" t="s">
        <v>1494</v>
      </c>
      <c r="AB67" s="1132"/>
      <c r="AC67" s="1132"/>
      <c r="AD67" s="1197" t="s">
        <v>975</v>
      </c>
      <c r="AE67" s="1193" t="s">
        <v>830</v>
      </c>
      <c r="AF67" s="1194">
        <v>1.8</v>
      </c>
      <c r="AG67" s="1195">
        <v>0.8</v>
      </c>
      <c r="AH67" s="1198">
        <v>1</v>
      </c>
      <c r="AI67" s="1134"/>
      <c r="AJ67" s="1134"/>
    </row>
    <row r="68" spans="1:36" x14ac:dyDescent="0.25">
      <c r="A68" s="12">
        <v>2</v>
      </c>
      <c r="B68" s="12" t="s">
        <v>976</v>
      </c>
      <c r="N68" s="409"/>
      <c r="O68" s="1165">
        <v>1</v>
      </c>
      <c r="P68" s="1165">
        <v>2</v>
      </c>
      <c r="Q68" s="1165">
        <v>3</v>
      </c>
      <c r="R68" s="1165">
        <v>4</v>
      </c>
      <c r="S68" s="1165">
        <v>5</v>
      </c>
      <c r="T68" s="1165">
        <v>6</v>
      </c>
      <c r="U68" s="1165">
        <v>7</v>
      </c>
      <c r="V68" s="1165">
        <v>8</v>
      </c>
      <c r="W68" s="1165">
        <v>9</v>
      </c>
      <c r="X68" s="1165">
        <v>10</v>
      </c>
      <c r="Y68" s="1165">
        <v>11</v>
      </c>
      <c r="Z68" s="1165">
        <v>12</v>
      </c>
      <c r="AA68" s="1899"/>
      <c r="AB68" s="1132"/>
      <c r="AC68" s="1132"/>
      <c r="AD68" s="1192" t="s">
        <v>977</v>
      </c>
      <c r="AE68" s="1193" t="s">
        <v>830</v>
      </c>
      <c r="AF68" s="1194">
        <v>5.8</v>
      </c>
      <c r="AG68" s="1195">
        <v>15.8</v>
      </c>
      <c r="AH68" s="1193">
        <v>1</v>
      </c>
      <c r="AI68" s="1134"/>
      <c r="AJ68" s="1134"/>
    </row>
    <row r="69" spans="1:36" ht="16.5" x14ac:dyDescent="0.25">
      <c r="C69" s="12" t="s">
        <v>978</v>
      </c>
      <c r="N69" s="1168" t="str">
        <f>'Apoio Regulação de Polinização'!N12</f>
        <v>Abelhas</v>
      </c>
      <c r="O69" s="1901" t="s">
        <v>1501</v>
      </c>
      <c r="P69" s="1902"/>
      <c r="Q69" s="1902"/>
      <c r="R69" s="1902"/>
      <c r="S69" s="1902"/>
      <c r="T69" s="1902"/>
      <c r="U69" s="1902"/>
      <c r="V69" s="1902"/>
      <c r="W69" s="1902"/>
      <c r="X69" s="1902"/>
      <c r="Y69" s="1902"/>
      <c r="Z69" s="1903"/>
      <c r="AA69" s="1166" t="s">
        <v>822</v>
      </c>
      <c r="AB69" s="1132"/>
      <c r="AC69" s="1132"/>
      <c r="AD69" s="1192" t="s">
        <v>979</v>
      </c>
      <c r="AE69" s="1193" t="s">
        <v>830</v>
      </c>
      <c r="AF69" s="1194">
        <v>7.8</v>
      </c>
      <c r="AG69" s="1195">
        <v>43.8</v>
      </c>
      <c r="AH69" s="1193">
        <v>1</v>
      </c>
      <c r="AJ69" s="1134"/>
    </row>
    <row r="70" spans="1:36" x14ac:dyDescent="0.25">
      <c r="C70" s="12" t="s">
        <v>980</v>
      </c>
      <c r="G70" s="12" t="s">
        <v>981</v>
      </c>
      <c r="N70" s="1169">
        <f>'Apoio Regulação de Polinização'!N13</f>
        <v>0</v>
      </c>
      <c r="O70" s="1170">
        <f>IF('Regulação de polinização'!E$98&gt;$AA70,0, 'Apoio Regulação de Polinização'!O13*2.7183^(-'Regulação de polinização'!E$98/$AA70))</f>
        <v>0</v>
      </c>
      <c r="P70" s="1170" t="e">
        <f>IF('Regulação de polinização'!F$98&gt;$AA70,0, 'Apoio Regulação de Polinização'!P13*2.7183^(-'Regulação de polinização'!F$98/$AA70))</f>
        <v>#N/A</v>
      </c>
      <c r="Q70" s="1170" t="e">
        <f>IF('Regulação de polinização'!G$98&gt;$AA70,0, 'Apoio Regulação de Polinização'!Q13*2.7183^(-'Regulação de polinização'!G$98/$AA70))</f>
        <v>#N/A</v>
      </c>
      <c r="R70" s="1170" t="e">
        <f>IF('Regulação de polinização'!H$98&gt;$AA70,0, 'Apoio Regulação de Polinização'!R13*2.7183^(-'Regulação de polinização'!H$98/$AA70))</f>
        <v>#N/A</v>
      </c>
      <c r="S70" s="1170" t="e">
        <f>IF('Regulação de polinização'!I$98&gt;$AA70,0, 'Apoio Regulação de Polinização'!S13*2.7183^(-'Regulação de polinização'!I$98/$AA70))</f>
        <v>#N/A</v>
      </c>
      <c r="T70" s="1170" t="e">
        <f>IF('Regulação de polinização'!J$98&gt;$AA70,0, 'Apoio Regulação de Polinização'!T13*2.7183^(-'Regulação de polinização'!J$98/$AA70))</f>
        <v>#N/A</v>
      </c>
      <c r="U70" s="1170" t="e">
        <f>IF('Regulação de polinização'!K$98&gt;$AA70,0, 'Apoio Regulação de Polinização'!U13*2.7183^(-'Regulação de polinização'!K$98/$AA70))</f>
        <v>#N/A</v>
      </c>
      <c r="V70" s="1170" t="e">
        <f>IF('Regulação de polinização'!L$98&gt;$AA70,0, 'Apoio Regulação de Polinização'!V13*2.7183^(-'Regulação de polinização'!L$98/$AA70))</f>
        <v>#N/A</v>
      </c>
      <c r="W70" s="1170" t="e">
        <f>IF('Regulação de polinização'!M$98&gt;$AA70,0, 'Apoio Regulação de Polinização'!W13*2.7183^(-'Regulação de polinização'!M$98/$AA70))</f>
        <v>#N/A</v>
      </c>
      <c r="X70" s="1170" t="e">
        <f>IF('Regulação de polinização'!N$98&gt;$AA70,0, 'Apoio Regulação de Polinização'!X13*2.7183^(-'Regulação de polinização'!N$98/$AA70))</f>
        <v>#N/A</v>
      </c>
      <c r="Y70" s="1170" t="e">
        <f>IF('Regulação de polinização'!O$98&gt;$AA70,0, 'Apoio Regulação de Polinização'!Y13*2.7183^(-'Regulação de polinização'!O$98/$AA70))</f>
        <v>#N/A</v>
      </c>
      <c r="Z70" s="1170" t="e">
        <f>IF('Regulação de polinização'!P$98&gt;$AA70,0, 'Apoio Regulação de Polinização'!Z13*2.7183^(-'Regulação de polinização'!P$98/$AA70))</f>
        <v>#N/A</v>
      </c>
      <c r="AA70" s="1177">
        <f>'Apoio Regulação de Polinização'!AA13</f>
        <v>5</v>
      </c>
      <c r="AB70" s="1132"/>
      <c r="AC70" s="1132"/>
      <c r="AD70" s="1197" t="s">
        <v>982</v>
      </c>
      <c r="AE70" s="1193" t="s">
        <v>830</v>
      </c>
      <c r="AF70" s="1194">
        <v>5.6</v>
      </c>
      <c r="AG70" s="1195">
        <v>13</v>
      </c>
      <c r="AH70" s="1198">
        <v>1</v>
      </c>
      <c r="AJ70" s="1134"/>
    </row>
    <row r="71" spans="1:36" x14ac:dyDescent="0.25">
      <c r="A71" s="12">
        <v>3</v>
      </c>
      <c r="B71" s="12" t="s">
        <v>983</v>
      </c>
      <c r="N71" s="1169">
        <f>'Apoio Regulação de Polinização'!N14</f>
        <v>0</v>
      </c>
      <c r="O71" s="1170">
        <f>IF('Regulação de polinização'!E$98&gt;$AA71,0, 'Apoio Regulação de Polinização'!O14*2.7183^(-'Regulação de polinização'!E$98/$AA71))</f>
        <v>0</v>
      </c>
      <c r="P71" s="1170" t="e">
        <f>IF('Regulação de polinização'!F$98&gt;$AA71,0, 'Apoio Regulação de Polinização'!P14*2.7183^(-'Regulação de polinização'!F$98/$AA71))</f>
        <v>#N/A</v>
      </c>
      <c r="Q71" s="1170" t="e">
        <f>IF('Regulação de polinização'!G$98&gt;$AA71,0, 'Apoio Regulação de Polinização'!Q14*2.7183^(-'Regulação de polinização'!G$98/$AA71))</f>
        <v>#N/A</v>
      </c>
      <c r="R71" s="1170" t="e">
        <f>IF('Regulação de polinização'!H$98&gt;$AA71,0, 'Apoio Regulação de Polinização'!R14*2.7183^(-'Regulação de polinização'!H$98/$AA71))</f>
        <v>#N/A</v>
      </c>
      <c r="S71" s="1170" t="e">
        <f>IF('Regulação de polinização'!I$98&gt;$AA71,0, 'Apoio Regulação de Polinização'!S14*2.7183^(-'Regulação de polinização'!I$98/$AA71))</f>
        <v>#N/A</v>
      </c>
      <c r="T71" s="1170" t="e">
        <f>IF('Regulação de polinização'!J$98&gt;$AA71,0, 'Apoio Regulação de Polinização'!T14*2.7183^(-'Regulação de polinização'!J$98/$AA71))</f>
        <v>#N/A</v>
      </c>
      <c r="U71" s="1170" t="e">
        <f>IF('Regulação de polinização'!K$98&gt;$AA71,0, 'Apoio Regulação de Polinização'!U14*2.7183^(-'Regulação de polinização'!K$98/$AA71))</f>
        <v>#N/A</v>
      </c>
      <c r="V71" s="1170" t="e">
        <f>IF('Regulação de polinização'!L$98&gt;$AA71,0, 'Apoio Regulação de Polinização'!V14*2.7183^(-'Regulação de polinização'!L$98/$AA71))</f>
        <v>#N/A</v>
      </c>
      <c r="W71" s="1170" t="e">
        <f>IF('Regulação de polinização'!M$98&gt;$AA71,0, 'Apoio Regulação de Polinização'!W14*2.7183^(-'Regulação de polinização'!M$98/$AA71))</f>
        <v>#N/A</v>
      </c>
      <c r="X71" s="1170" t="e">
        <f>IF('Regulação de polinização'!N$98&gt;$AA71,0, 'Apoio Regulação de Polinização'!X14*2.7183^(-'Regulação de polinização'!N$98/$AA71))</f>
        <v>#N/A</v>
      </c>
      <c r="Y71" s="1170" t="e">
        <f>IF('Regulação de polinização'!O$98&gt;$AA71,0, 'Apoio Regulação de Polinização'!Y14*2.7183^(-'Regulação de polinização'!O$98/$AA71))</f>
        <v>#N/A</v>
      </c>
      <c r="Z71" s="1170" t="e">
        <f>IF('Regulação de polinização'!P$98&gt;$AA71,0, 'Apoio Regulação de Polinização'!Z14*2.7183^(-'Regulação de polinização'!P$98/$AA71))</f>
        <v>#N/A</v>
      </c>
      <c r="AA71" s="1179">
        <f>'Apoio Regulação de Polinização'!AA14</f>
        <v>8</v>
      </c>
      <c r="AD71" s="1192" t="s">
        <v>984</v>
      </c>
      <c r="AE71" s="1194"/>
      <c r="AF71" s="1131"/>
      <c r="AG71" s="1131"/>
      <c r="AH71" s="1131"/>
    </row>
    <row r="72" spans="1:36" x14ac:dyDescent="0.25">
      <c r="C72" s="12" t="s">
        <v>985</v>
      </c>
      <c r="N72" s="1169">
        <f>'Apoio Regulação de Polinização'!N15</f>
        <v>0</v>
      </c>
      <c r="O72" s="1170" t="e">
        <f>IF('Regulação de polinização'!E$98&gt;$AA72,0, 'Apoio Regulação de Polinização'!O15*2.7183^(-'Regulação de polinização'!E$98/$AA72))</f>
        <v>#N/A</v>
      </c>
      <c r="P72" s="1170" t="e">
        <f>IF('Regulação de polinização'!F$98&gt;$AA72,0, 'Apoio Regulação de Polinização'!P15*2.7183^(-'Regulação de polinização'!F$98/$AA72))</f>
        <v>#N/A</v>
      </c>
      <c r="Q72" s="1170" t="e">
        <f>IF('Regulação de polinização'!G$98&gt;$AA72,0, 'Apoio Regulação de Polinização'!Q15*2.7183^(-'Regulação de polinização'!G$98/$AA72))</f>
        <v>#N/A</v>
      </c>
      <c r="R72" s="1170" t="e">
        <f>IF('Regulação de polinização'!H$98&gt;$AA72,0, 'Apoio Regulação de Polinização'!R15*2.7183^(-'Regulação de polinização'!H$98/$AA72))</f>
        <v>#N/A</v>
      </c>
      <c r="S72" s="1170" t="e">
        <f>IF('Regulação de polinização'!I$98&gt;$AA72,0, 'Apoio Regulação de Polinização'!S15*2.7183^(-'Regulação de polinização'!I$98/$AA72))</f>
        <v>#N/A</v>
      </c>
      <c r="T72" s="1170" t="e">
        <f>IF('Regulação de polinização'!J$98&gt;$AA72,0, 'Apoio Regulação de Polinização'!T15*2.7183^(-'Regulação de polinização'!J$98/$AA72))</f>
        <v>#N/A</v>
      </c>
      <c r="U72" s="1170" t="e">
        <f>IF('Regulação de polinização'!K$98&gt;$AA72,0, 'Apoio Regulação de Polinização'!U15*2.7183^(-'Regulação de polinização'!K$98/$AA72))</f>
        <v>#N/A</v>
      </c>
      <c r="V72" s="1170" t="e">
        <f>IF('Regulação de polinização'!L$98&gt;$AA72,0, 'Apoio Regulação de Polinização'!V15*2.7183^(-'Regulação de polinização'!L$98/$AA72))</f>
        <v>#N/A</v>
      </c>
      <c r="W72" s="1170" t="e">
        <f>IF('Regulação de polinização'!M$98&gt;$AA72,0, 'Apoio Regulação de Polinização'!W15*2.7183^(-'Regulação de polinização'!M$98/$AA72))</f>
        <v>#N/A</v>
      </c>
      <c r="X72" s="1170" t="e">
        <f>IF('Regulação de polinização'!N$98&gt;$AA72,0, 'Apoio Regulação de Polinização'!X15*2.7183^(-'Regulação de polinização'!N$98/$AA72))</f>
        <v>#N/A</v>
      </c>
      <c r="Y72" s="1170" t="e">
        <f>IF('Regulação de polinização'!O$98&gt;$AA72,0, 'Apoio Regulação de Polinização'!Y15*2.7183^(-'Regulação de polinização'!O$98/$AA72))</f>
        <v>#N/A</v>
      </c>
      <c r="Z72" s="1170" t="e">
        <f>IF('Regulação de polinização'!P$98&gt;$AA72,0, 'Apoio Regulação de Polinização'!Z15*2.7183^(-'Regulação de polinização'!P$98/$AA72))</f>
        <v>#N/A</v>
      </c>
      <c r="AA72" s="1179" t="e">
        <f>'Apoio Regulação de Polinização'!AA15</f>
        <v>#N/A</v>
      </c>
    </row>
    <row r="73" spans="1:36" x14ac:dyDescent="0.25">
      <c r="C73" s="12" t="s">
        <v>986</v>
      </c>
      <c r="N73" s="1169">
        <f>'Apoio Regulação de Polinização'!N16</f>
        <v>0</v>
      </c>
      <c r="O73" s="1170" t="e">
        <f>IF('Regulação de polinização'!E$98&gt;$AA73,0, 'Apoio Regulação de Polinização'!O16*2.7183^(-'Regulação de polinização'!E$98/$AA73))</f>
        <v>#N/A</v>
      </c>
      <c r="P73" s="1170" t="e">
        <f>IF('Regulação de polinização'!F$98&gt;$AA73,0, 'Apoio Regulação de Polinização'!P16*2.7183^(-'Regulação de polinização'!F$98/$AA73))</f>
        <v>#N/A</v>
      </c>
      <c r="Q73" s="1170" t="e">
        <f>IF('Regulação de polinização'!G$98&gt;$AA73,0, 'Apoio Regulação de Polinização'!Q16*2.7183^(-'Regulação de polinização'!G$98/$AA73))</f>
        <v>#N/A</v>
      </c>
      <c r="R73" s="1170" t="e">
        <f>IF('Regulação de polinização'!H$98&gt;$AA73,0, 'Apoio Regulação de Polinização'!R16*2.7183^(-'Regulação de polinização'!H$98/$AA73))</f>
        <v>#N/A</v>
      </c>
      <c r="S73" s="1170" t="e">
        <f>IF('Regulação de polinização'!I$98&gt;$AA73,0, 'Apoio Regulação de Polinização'!S16*2.7183^(-'Regulação de polinização'!I$98/$AA73))</f>
        <v>#N/A</v>
      </c>
      <c r="T73" s="1170" t="e">
        <f>IF('Regulação de polinização'!J$98&gt;$AA73,0, 'Apoio Regulação de Polinização'!T16*2.7183^(-'Regulação de polinização'!J$98/$AA73))</f>
        <v>#N/A</v>
      </c>
      <c r="U73" s="1170" t="e">
        <f>IF('Regulação de polinização'!K$98&gt;$AA73,0, 'Apoio Regulação de Polinização'!U16*2.7183^(-'Regulação de polinização'!K$98/$AA73))</f>
        <v>#N/A</v>
      </c>
      <c r="V73" s="1170" t="e">
        <f>IF('Regulação de polinização'!L$98&gt;$AA73,0, 'Apoio Regulação de Polinização'!V16*2.7183^(-'Regulação de polinização'!L$98/$AA73))</f>
        <v>#N/A</v>
      </c>
      <c r="W73" s="1170" t="e">
        <f>IF('Regulação de polinização'!M$98&gt;$AA73,0, 'Apoio Regulação de Polinização'!W16*2.7183^(-'Regulação de polinização'!M$98/$AA73))</f>
        <v>#N/A</v>
      </c>
      <c r="X73" s="1170" t="e">
        <f>IF('Regulação de polinização'!N$98&gt;$AA73,0, 'Apoio Regulação de Polinização'!X16*2.7183^(-'Regulação de polinização'!N$98/$AA73))</f>
        <v>#N/A</v>
      </c>
      <c r="Y73" s="1170" t="e">
        <f>IF('Regulação de polinização'!O$98&gt;$AA73,0, 'Apoio Regulação de Polinização'!Y16*2.7183^(-'Regulação de polinização'!O$98/$AA73))</f>
        <v>#N/A</v>
      </c>
      <c r="Z73" s="1170" t="e">
        <f>IF('Regulação de polinização'!P$98&gt;$AA73,0, 'Apoio Regulação de Polinização'!Z16*2.7183^(-'Regulação de polinização'!P$98/$AA73))</f>
        <v>#N/A</v>
      </c>
      <c r="AA73" s="1179" t="e">
        <f>'Apoio Regulação de Polinização'!AA16</f>
        <v>#N/A</v>
      </c>
    </row>
    <row r="74" spans="1:36" x14ac:dyDescent="0.25">
      <c r="A74" s="12">
        <v>4</v>
      </c>
      <c r="B74" s="12" t="s">
        <v>987</v>
      </c>
      <c r="N74" s="1169">
        <f>'Apoio Regulação de Polinização'!N17</f>
        <v>0</v>
      </c>
      <c r="O74" s="1170" t="e">
        <f>IF('Regulação de polinização'!E$98&gt;$AA74,0, 'Apoio Regulação de Polinização'!O17*2.7183^(-'Regulação de polinização'!E$98/$AA74))</f>
        <v>#N/A</v>
      </c>
      <c r="P74" s="1170" t="e">
        <f>IF('Regulação de polinização'!F$98&gt;$AA74,0, 'Apoio Regulação de Polinização'!P17*2.7183^(-'Regulação de polinização'!F$98/$AA74))</f>
        <v>#N/A</v>
      </c>
      <c r="Q74" s="1170" t="e">
        <f>IF('Regulação de polinização'!G$98&gt;$AA74,0, 'Apoio Regulação de Polinização'!Q17*2.7183^(-'Regulação de polinização'!G$98/$AA74))</f>
        <v>#N/A</v>
      </c>
      <c r="R74" s="1170" t="e">
        <f>IF('Regulação de polinização'!H$98&gt;$AA74,0, 'Apoio Regulação de Polinização'!R17*2.7183^(-'Regulação de polinização'!H$98/$AA74))</f>
        <v>#N/A</v>
      </c>
      <c r="S74" s="1170" t="e">
        <f>IF('Regulação de polinização'!I$98&gt;$AA74,0, 'Apoio Regulação de Polinização'!S17*2.7183^(-'Regulação de polinização'!I$98/$AA74))</f>
        <v>#N/A</v>
      </c>
      <c r="T74" s="1170" t="e">
        <f>IF('Regulação de polinização'!J$98&gt;$AA74,0, 'Apoio Regulação de Polinização'!T17*2.7183^(-'Regulação de polinização'!J$98/$AA74))</f>
        <v>#N/A</v>
      </c>
      <c r="U74" s="1170" t="e">
        <f>IF('Regulação de polinização'!K$98&gt;$AA74,0, 'Apoio Regulação de Polinização'!U17*2.7183^(-'Regulação de polinização'!K$98/$AA74))</f>
        <v>#N/A</v>
      </c>
      <c r="V74" s="1170" t="e">
        <f>IF('Regulação de polinização'!L$98&gt;$AA74,0, 'Apoio Regulação de Polinização'!V17*2.7183^(-'Regulação de polinização'!L$98/$AA74))</f>
        <v>#N/A</v>
      </c>
      <c r="W74" s="1170" t="e">
        <f>IF('Regulação de polinização'!M$98&gt;$AA74,0, 'Apoio Regulação de Polinização'!W17*2.7183^(-'Regulação de polinização'!M$98/$AA74))</f>
        <v>#N/A</v>
      </c>
      <c r="X74" s="1170" t="e">
        <f>IF('Regulação de polinização'!N$98&gt;$AA74,0, 'Apoio Regulação de Polinização'!X17*2.7183^(-'Regulação de polinização'!N$98/$AA74))</f>
        <v>#N/A</v>
      </c>
      <c r="Y74" s="1170" t="e">
        <f>IF('Regulação de polinização'!O$98&gt;$AA74,0, 'Apoio Regulação de Polinização'!Y17*2.7183^(-'Regulação de polinização'!O$98/$AA74))</f>
        <v>#N/A</v>
      </c>
      <c r="Z74" s="1170" t="e">
        <f>IF('Regulação de polinização'!P$98&gt;$AA74,0, 'Apoio Regulação de Polinização'!Z17*2.7183^(-'Regulação de polinização'!P$98/$AA74))</f>
        <v>#N/A</v>
      </c>
      <c r="AA74" s="1179" t="e">
        <f>'Apoio Regulação de Polinização'!AA17</f>
        <v>#N/A</v>
      </c>
    </row>
    <row r="75" spans="1:36" x14ac:dyDescent="0.25">
      <c r="C75" s="12" t="s">
        <v>988</v>
      </c>
      <c r="N75" s="1169">
        <f>'Apoio Regulação de Polinização'!N18</f>
        <v>0</v>
      </c>
      <c r="O75" s="1170" t="e">
        <f>IF('Regulação de polinização'!E$98&gt;$AA75,0, 'Apoio Regulação de Polinização'!O18*2.7183^(-'Regulação de polinização'!E$98/$AA75))</f>
        <v>#N/A</v>
      </c>
      <c r="P75" s="1170" t="e">
        <f>IF('Regulação de polinização'!F$98&gt;$AA75,0, 'Apoio Regulação de Polinização'!P18*2.7183^(-'Regulação de polinização'!F$98/$AA75))</f>
        <v>#N/A</v>
      </c>
      <c r="Q75" s="1170" t="e">
        <f>IF('Regulação de polinização'!G$98&gt;$AA75,0, 'Apoio Regulação de Polinização'!Q18*2.7183^(-'Regulação de polinização'!G$98/$AA75))</f>
        <v>#N/A</v>
      </c>
      <c r="R75" s="1170" t="e">
        <f>IF('Regulação de polinização'!H$98&gt;$AA75,0, 'Apoio Regulação de Polinização'!R18*2.7183^(-'Regulação de polinização'!H$98/$AA75))</f>
        <v>#N/A</v>
      </c>
      <c r="S75" s="1170" t="e">
        <f>IF('Regulação de polinização'!I$98&gt;$AA75,0, 'Apoio Regulação de Polinização'!S18*2.7183^(-'Regulação de polinização'!I$98/$AA75))</f>
        <v>#N/A</v>
      </c>
      <c r="T75" s="1170" t="e">
        <f>IF('Regulação de polinização'!J$98&gt;$AA75,0, 'Apoio Regulação de Polinização'!T18*2.7183^(-'Regulação de polinização'!J$98/$AA75))</f>
        <v>#N/A</v>
      </c>
      <c r="U75" s="1170" t="e">
        <f>IF('Regulação de polinização'!K$98&gt;$AA75,0, 'Apoio Regulação de Polinização'!U18*2.7183^(-'Regulação de polinização'!K$98/$AA75))</f>
        <v>#N/A</v>
      </c>
      <c r="V75" s="1170" t="e">
        <f>IF('Regulação de polinização'!L$98&gt;$AA75,0, 'Apoio Regulação de Polinização'!V18*2.7183^(-'Regulação de polinização'!L$98/$AA75))</f>
        <v>#N/A</v>
      </c>
      <c r="W75" s="1170" t="e">
        <f>IF('Regulação de polinização'!M$98&gt;$AA75,0, 'Apoio Regulação de Polinização'!W18*2.7183^(-'Regulação de polinização'!M$98/$AA75))</f>
        <v>#N/A</v>
      </c>
      <c r="X75" s="1170" t="e">
        <f>IF('Regulação de polinização'!N$98&gt;$AA75,0, 'Apoio Regulação de Polinização'!X18*2.7183^(-'Regulação de polinização'!N$98/$AA75))</f>
        <v>#N/A</v>
      </c>
      <c r="Y75" s="1170" t="e">
        <f>IF('Regulação de polinização'!O$98&gt;$AA75,0, 'Apoio Regulação de Polinização'!Y18*2.7183^(-'Regulação de polinização'!O$98/$AA75))</f>
        <v>#N/A</v>
      </c>
      <c r="Z75" s="1170" t="e">
        <f>IF('Regulação de polinização'!P$98&gt;$AA75,0, 'Apoio Regulação de Polinização'!Z18*2.7183^(-'Regulação de polinização'!P$98/$AA75))</f>
        <v>#N/A</v>
      </c>
      <c r="AA75" s="1179" t="e">
        <f>'Apoio Regulação de Polinização'!AA18</f>
        <v>#N/A</v>
      </c>
    </row>
    <row r="76" spans="1:36" x14ac:dyDescent="0.25">
      <c r="C76" s="12" t="s">
        <v>989</v>
      </c>
      <c r="N76" s="1169">
        <f>'Apoio Regulação de Polinização'!N19</f>
        <v>0</v>
      </c>
      <c r="O76" s="1170" t="e">
        <f>IF('Regulação de polinização'!E$98&gt;$AA76,0, 'Apoio Regulação de Polinização'!O19*2.7183^(-'Regulação de polinização'!E$98/$AA76))</f>
        <v>#N/A</v>
      </c>
      <c r="P76" s="1170" t="e">
        <f>IF('Regulação de polinização'!F$98&gt;$AA76,0, 'Apoio Regulação de Polinização'!P19*2.7183^(-'Regulação de polinização'!F$98/$AA76))</f>
        <v>#N/A</v>
      </c>
      <c r="Q76" s="1170" t="e">
        <f>IF('Regulação de polinização'!G$98&gt;$AA76,0, 'Apoio Regulação de Polinização'!Q19*2.7183^(-'Regulação de polinização'!G$98/$AA76))</f>
        <v>#N/A</v>
      </c>
      <c r="R76" s="1170" t="e">
        <f>IF('Regulação de polinização'!H$98&gt;$AA76,0, 'Apoio Regulação de Polinização'!R19*2.7183^(-'Regulação de polinização'!H$98/$AA76))</f>
        <v>#N/A</v>
      </c>
      <c r="S76" s="1170" t="e">
        <f>IF('Regulação de polinização'!I$98&gt;$AA76,0, 'Apoio Regulação de Polinização'!S19*2.7183^(-'Regulação de polinização'!I$98/$AA76))</f>
        <v>#N/A</v>
      </c>
      <c r="T76" s="1170" t="e">
        <f>IF('Regulação de polinização'!J$98&gt;$AA76,0, 'Apoio Regulação de Polinização'!T19*2.7183^(-'Regulação de polinização'!J$98/$AA76))</f>
        <v>#N/A</v>
      </c>
      <c r="U76" s="1170" t="e">
        <f>IF('Regulação de polinização'!K$98&gt;$AA76,0, 'Apoio Regulação de Polinização'!U19*2.7183^(-'Regulação de polinização'!K$98/$AA76))</f>
        <v>#N/A</v>
      </c>
      <c r="V76" s="1170" t="e">
        <f>IF('Regulação de polinização'!L$98&gt;$AA76,0, 'Apoio Regulação de Polinização'!V19*2.7183^(-'Regulação de polinização'!L$98/$AA76))</f>
        <v>#N/A</v>
      </c>
      <c r="W76" s="1170" t="e">
        <f>IF('Regulação de polinização'!M$98&gt;$AA76,0, 'Apoio Regulação de Polinização'!W19*2.7183^(-'Regulação de polinização'!M$98/$AA76))</f>
        <v>#N/A</v>
      </c>
      <c r="X76" s="1170" t="e">
        <f>IF('Regulação de polinização'!N$98&gt;$AA76,0, 'Apoio Regulação de Polinização'!X19*2.7183^(-'Regulação de polinização'!N$98/$AA76))</f>
        <v>#N/A</v>
      </c>
      <c r="Y76" s="1170" t="e">
        <f>IF('Regulação de polinização'!O$98&gt;$AA76,0, 'Apoio Regulação de Polinização'!Y19*2.7183^(-'Regulação de polinização'!O$98/$AA76))</f>
        <v>#N/A</v>
      </c>
      <c r="Z76" s="1170" t="e">
        <f>IF('Regulação de polinização'!P$98&gt;$AA76,0, 'Apoio Regulação de Polinização'!Z19*2.7183^(-'Regulação de polinização'!P$98/$AA76))</f>
        <v>#N/A</v>
      </c>
      <c r="AA76" s="1179" t="e">
        <f>'Apoio Regulação de Polinização'!AA19</f>
        <v>#N/A</v>
      </c>
    </row>
    <row r="77" spans="1:36" x14ac:dyDescent="0.25">
      <c r="A77" s="12">
        <v>5</v>
      </c>
      <c r="B77" s="12" t="s">
        <v>990</v>
      </c>
      <c r="N77" s="1169">
        <f>'Apoio Regulação de Polinização'!N20</f>
        <v>0</v>
      </c>
      <c r="O77" s="1170" t="e">
        <f>IF('Regulação de polinização'!E$98&gt;$AA77,0, 'Apoio Regulação de Polinização'!O20*2.7183^(-'Regulação de polinização'!E$98/$AA77))</f>
        <v>#N/A</v>
      </c>
      <c r="P77" s="1170" t="e">
        <f>IF('Regulação de polinização'!F$98&gt;$AA77,0, 'Apoio Regulação de Polinização'!P20*2.7183^(-'Regulação de polinização'!F$98/$AA77))</f>
        <v>#N/A</v>
      </c>
      <c r="Q77" s="1170" t="e">
        <f>IF('Regulação de polinização'!G$98&gt;$AA77,0, 'Apoio Regulação de Polinização'!Q20*2.7183^(-'Regulação de polinização'!G$98/$AA77))</f>
        <v>#N/A</v>
      </c>
      <c r="R77" s="1170" t="e">
        <f>IF('Regulação de polinização'!H$98&gt;$AA77,0, 'Apoio Regulação de Polinização'!R20*2.7183^(-'Regulação de polinização'!H$98/$AA77))</f>
        <v>#N/A</v>
      </c>
      <c r="S77" s="1170" t="e">
        <f>IF('Regulação de polinização'!I$98&gt;$AA77,0, 'Apoio Regulação de Polinização'!S20*2.7183^(-'Regulação de polinização'!I$98/$AA77))</f>
        <v>#N/A</v>
      </c>
      <c r="T77" s="1170" t="e">
        <f>IF('Regulação de polinização'!J$98&gt;$AA77,0, 'Apoio Regulação de Polinização'!T20*2.7183^(-'Regulação de polinização'!J$98/$AA77))</f>
        <v>#N/A</v>
      </c>
      <c r="U77" s="1170" t="e">
        <f>IF('Regulação de polinização'!K$98&gt;$AA77,0, 'Apoio Regulação de Polinização'!U20*2.7183^(-'Regulação de polinização'!K$98/$AA77))</f>
        <v>#N/A</v>
      </c>
      <c r="V77" s="1170" t="e">
        <f>IF('Regulação de polinização'!L$98&gt;$AA77,0, 'Apoio Regulação de Polinização'!V20*2.7183^(-'Regulação de polinização'!L$98/$AA77))</f>
        <v>#N/A</v>
      </c>
      <c r="W77" s="1170" t="e">
        <f>IF('Regulação de polinização'!M$98&gt;$AA77,0, 'Apoio Regulação de Polinização'!W20*2.7183^(-'Regulação de polinização'!M$98/$AA77))</f>
        <v>#N/A</v>
      </c>
      <c r="X77" s="1170" t="e">
        <f>IF('Regulação de polinização'!N$98&gt;$AA77,0, 'Apoio Regulação de Polinização'!X20*2.7183^(-'Regulação de polinização'!N$98/$AA77))</f>
        <v>#N/A</v>
      </c>
      <c r="Y77" s="1170" t="e">
        <f>IF('Regulação de polinização'!O$98&gt;$AA77,0, 'Apoio Regulação de Polinização'!Y20*2.7183^(-'Regulação de polinização'!O$98/$AA77))</f>
        <v>#N/A</v>
      </c>
      <c r="Z77" s="1170" t="e">
        <f>IF('Regulação de polinização'!P$98&gt;$AA77,0, 'Apoio Regulação de Polinização'!Z20*2.7183^(-'Regulação de polinização'!P$98/$AA77))</f>
        <v>#N/A</v>
      </c>
      <c r="AA77" s="1179" t="e">
        <f>'Apoio Regulação de Polinização'!AA20</f>
        <v>#N/A</v>
      </c>
    </row>
    <row r="78" spans="1:36" x14ac:dyDescent="0.25">
      <c r="C78" s="12" t="s">
        <v>991</v>
      </c>
      <c r="N78" s="1169">
        <f>'Apoio Regulação de Polinização'!N21</f>
        <v>0</v>
      </c>
      <c r="O78" s="1170" t="e">
        <f>IF('Regulação de polinização'!E$98&gt;$AA78,0, 'Apoio Regulação de Polinização'!O21*2.7183^(-'Regulação de polinização'!E$98/$AA78))</f>
        <v>#N/A</v>
      </c>
      <c r="P78" s="1170" t="e">
        <f>IF('Regulação de polinização'!F$98&gt;$AA78,0, 'Apoio Regulação de Polinização'!P21*2.7183^(-'Regulação de polinização'!F$98/$AA78))</f>
        <v>#N/A</v>
      </c>
      <c r="Q78" s="1170" t="e">
        <f>IF('Regulação de polinização'!G$98&gt;$AA78,0, 'Apoio Regulação de Polinização'!Q21*2.7183^(-'Regulação de polinização'!G$98/$AA78))</f>
        <v>#N/A</v>
      </c>
      <c r="R78" s="1170" t="e">
        <f>IF('Regulação de polinização'!H$98&gt;$AA78,0, 'Apoio Regulação de Polinização'!R21*2.7183^(-'Regulação de polinização'!H$98/$AA78))</f>
        <v>#N/A</v>
      </c>
      <c r="S78" s="1170" t="e">
        <f>IF('Regulação de polinização'!I$98&gt;$AA78,0, 'Apoio Regulação de Polinização'!S21*2.7183^(-'Regulação de polinização'!I$98/$AA78))</f>
        <v>#N/A</v>
      </c>
      <c r="T78" s="1170" t="e">
        <f>IF('Regulação de polinização'!J$98&gt;$AA78,0, 'Apoio Regulação de Polinização'!T21*2.7183^(-'Regulação de polinização'!J$98/$AA78))</f>
        <v>#N/A</v>
      </c>
      <c r="U78" s="1170" t="e">
        <f>IF('Regulação de polinização'!K$98&gt;$AA78,0, 'Apoio Regulação de Polinização'!U21*2.7183^(-'Regulação de polinização'!K$98/$AA78))</f>
        <v>#N/A</v>
      </c>
      <c r="V78" s="1170" t="e">
        <f>IF('Regulação de polinização'!L$98&gt;$AA78,0, 'Apoio Regulação de Polinização'!V21*2.7183^(-'Regulação de polinização'!L$98/$AA78))</f>
        <v>#N/A</v>
      </c>
      <c r="W78" s="1170" t="e">
        <f>IF('Regulação de polinização'!M$98&gt;$AA78,0, 'Apoio Regulação de Polinização'!W21*2.7183^(-'Regulação de polinização'!M$98/$AA78))</f>
        <v>#N/A</v>
      </c>
      <c r="X78" s="1170" t="e">
        <f>IF('Regulação de polinização'!N$98&gt;$AA78,0, 'Apoio Regulação de Polinização'!X21*2.7183^(-'Regulação de polinização'!N$98/$AA78))</f>
        <v>#N/A</v>
      </c>
      <c r="Y78" s="1170" t="e">
        <f>IF('Regulação de polinização'!O$98&gt;$AA78,0, 'Apoio Regulação de Polinização'!Y21*2.7183^(-'Regulação de polinização'!O$98/$AA78))</f>
        <v>#N/A</v>
      </c>
      <c r="Z78" s="1170" t="e">
        <f>IF('Regulação de polinização'!P$98&gt;$AA78,0, 'Apoio Regulação de Polinização'!Z21*2.7183^(-'Regulação de polinização'!P$98/$AA78))</f>
        <v>#N/A</v>
      </c>
      <c r="AA78" s="1179" t="e">
        <f>'Apoio Regulação de Polinização'!AA21</f>
        <v>#N/A</v>
      </c>
    </row>
    <row r="79" spans="1:36" x14ac:dyDescent="0.25">
      <c r="C79" s="12" t="s">
        <v>992</v>
      </c>
      <c r="N79" s="1169">
        <f>'Apoio Regulação de Polinização'!N22</f>
        <v>0</v>
      </c>
      <c r="O79" s="1170" t="e">
        <f>IF('Regulação de polinização'!E$98&gt;$AA79,0, 'Apoio Regulação de Polinização'!O22*2.7183^(-'Regulação de polinização'!E$98/$AA79))</f>
        <v>#N/A</v>
      </c>
      <c r="P79" s="1170" t="e">
        <f>IF('Regulação de polinização'!F$98&gt;$AA79,0, 'Apoio Regulação de Polinização'!P22*2.7183^(-'Regulação de polinização'!F$98/$AA79))</f>
        <v>#N/A</v>
      </c>
      <c r="Q79" s="1170" t="e">
        <f>IF('Regulação de polinização'!G$98&gt;$AA79,0, 'Apoio Regulação de Polinização'!Q22*2.7183^(-'Regulação de polinização'!G$98/$AA79))</f>
        <v>#N/A</v>
      </c>
      <c r="R79" s="1170" t="e">
        <f>IF('Regulação de polinização'!H$98&gt;$AA79,0, 'Apoio Regulação de Polinização'!R22*2.7183^(-'Regulação de polinização'!H$98/$AA79))</f>
        <v>#N/A</v>
      </c>
      <c r="S79" s="1170" t="e">
        <f>IF('Regulação de polinização'!I$98&gt;$AA79,0, 'Apoio Regulação de Polinização'!S22*2.7183^(-'Regulação de polinização'!I$98/$AA79))</f>
        <v>#N/A</v>
      </c>
      <c r="T79" s="1170" t="e">
        <f>IF('Regulação de polinização'!J$98&gt;$AA79,0, 'Apoio Regulação de Polinização'!T22*2.7183^(-'Regulação de polinização'!J$98/$AA79))</f>
        <v>#N/A</v>
      </c>
      <c r="U79" s="1170" t="e">
        <f>IF('Regulação de polinização'!K$98&gt;$AA79,0, 'Apoio Regulação de Polinização'!U22*2.7183^(-'Regulação de polinização'!K$98/$AA79))</f>
        <v>#N/A</v>
      </c>
      <c r="V79" s="1170" t="e">
        <f>IF('Regulação de polinização'!L$98&gt;$AA79,0, 'Apoio Regulação de Polinização'!V22*2.7183^(-'Regulação de polinização'!L$98/$AA79))</f>
        <v>#N/A</v>
      </c>
      <c r="W79" s="1170" t="e">
        <f>IF('Regulação de polinização'!M$98&gt;$AA79,0, 'Apoio Regulação de Polinização'!W22*2.7183^(-'Regulação de polinização'!M$98/$AA79))</f>
        <v>#N/A</v>
      </c>
      <c r="X79" s="1170" t="e">
        <f>IF('Regulação de polinização'!N$98&gt;$AA79,0, 'Apoio Regulação de Polinização'!X22*2.7183^(-'Regulação de polinização'!N$98/$AA79))</f>
        <v>#N/A</v>
      </c>
      <c r="Y79" s="1170" t="e">
        <f>IF('Regulação de polinização'!O$98&gt;$AA79,0, 'Apoio Regulação de Polinização'!Y22*2.7183^(-'Regulação de polinização'!O$98/$AA79))</f>
        <v>#N/A</v>
      </c>
      <c r="Z79" s="1170" t="e">
        <f>IF('Regulação de polinização'!P$98&gt;$AA79,0, 'Apoio Regulação de Polinização'!Z22*2.7183^(-'Regulação de polinização'!P$98/$AA79))</f>
        <v>#N/A</v>
      </c>
      <c r="AA79" s="1179" t="e">
        <f>'Apoio Regulação de Polinização'!AA22</f>
        <v>#N/A</v>
      </c>
    </row>
    <row r="80" spans="1:36" x14ac:dyDescent="0.25">
      <c r="C80" s="12" t="s">
        <v>1483</v>
      </c>
      <c r="N80" s="1169">
        <f>'Apoio Regulação de Polinização'!N23</f>
        <v>0</v>
      </c>
      <c r="O80" s="1170" t="e">
        <f>IF('Regulação de polinização'!E$98&gt;$AA80,0, 'Apoio Regulação de Polinização'!O23*2.7183^(-'Regulação de polinização'!E$98/$AA80))</f>
        <v>#N/A</v>
      </c>
      <c r="P80" s="1170" t="e">
        <f>IF('Regulação de polinização'!F$98&gt;$AA80,0, 'Apoio Regulação de Polinização'!P23*2.7183^(-'Regulação de polinização'!F$98/$AA80))</f>
        <v>#N/A</v>
      </c>
      <c r="Q80" s="1170" t="e">
        <f>IF('Regulação de polinização'!G$98&gt;$AA80,0, 'Apoio Regulação de Polinização'!Q23*2.7183^(-'Regulação de polinização'!G$98/$AA80))</f>
        <v>#N/A</v>
      </c>
      <c r="R80" s="1170" t="e">
        <f>IF('Regulação de polinização'!H$98&gt;$AA80,0, 'Apoio Regulação de Polinização'!R23*2.7183^(-'Regulação de polinização'!H$98/$AA80))</f>
        <v>#N/A</v>
      </c>
      <c r="S80" s="1170" t="e">
        <f>IF('Regulação de polinização'!I$98&gt;$AA80,0, 'Apoio Regulação de Polinização'!S23*2.7183^(-'Regulação de polinização'!I$98/$AA80))</f>
        <v>#N/A</v>
      </c>
      <c r="T80" s="1170" t="e">
        <f>IF('Regulação de polinização'!J$98&gt;$AA80,0, 'Apoio Regulação de Polinização'!T23*2.7183^(-'Regulação de polinização'!J$98/$AA80))</f>
        <v>#N/A</v>
      </c>
      <c r="U80" s="1170" t="e">
        <f>IF('Regulação de polinização'!K$98&gt;$AA80,0, 'Apoio Regulação de Polinização'!U23*2.7183^(-'Regulação de polinização'!K$98/$AA80))</f>
        <v>#N/A</v>
      </c>
      <c r="V80" s="1170" t="e">
        <f>IF('Regulação de polinização'!L$98&gt;$AA80,0, 'Apoio Regulação de Polinização'!V23*2.7183^(-'Regulação de polinização'!L$98/$AA80))</f>
        <v>#N/A</v>
      </c>
      <c r="W80" s="1170" t="e">
        <f>IF('Regulação de polinização'!M$98&gt;$AA80,0, 'Apoio Regulação de Polinização'!W23*2.7183^(-'Regulação de polinização'!M$98/$AA80))</f>
        <v>#N/A</v>
      </c>
      <c r="X80" s="1170" t="e">
        <f>IF('Regulação de polinização'!N$98&gt;$AA80,0, 'Apoio Regulação de Polinização'!X23*2.7183^(-'Regulação de polinização'!N$98/$AA80))</f>
        <v>#N/A</v>
      </c>
      <c r="Y80" s="1170" t="e">
        <f>IF('Regulação de polinização'!O$98&gt;$AA80,0, 'Apoio Regulação de Polinização'!Y23*2.7183^(-'Regulação de polinização'!O$98/$AA80))</f>
        <v>#N/A</v>
      </c>
      <c r="Z80" s="1170" t="e">
        <f>IF('Regulação de polinização'!P$98&gt;$AA80,0, 'Apoio Regulação de Polinização'!Z23*2.7183^(-'Regulação de polinização'!P$98/$AA80))</f>
        <v>#N/A</v>
      </c>
      <c r="AA80" s="1179" t="e">
        <f>'Apoio Regulação de Polinização'!AA23</f>
        <v>#N/A</v>
      </c>
    </row>
    <row r="81" spans="1:27" x14ac:dyDescent="0.25">
      <c r="A81" s="12">
        <v>6</v>
      </c>
      <c r="B81" s="12" t="s">
        <v>993</v>
      </c>
      <c r="N81" s="1169">
        <f>'Apoio Regulação de Polinização'!N24</f>
        <v>0</v>
      </c>
      <c r="O81" s="1170" t="e">
        <f>IF('Regulação de polinização'!E$98&gt;$AA81,0, 'Apoio Regulação de Polinização'!O24*2.7183^(-'Regulação de polinização'!E$98/$AA81))</f>
        <v>#N/A</v>
      </c>
      <c r="P81" s="1170" t="e">
        <f>IF('Regulação de polinização'!F$98&gt;$AA81,0, 'Apoio Regulação de Polinização'!P24*2.7183^(-'Regulação de polinização'!F$98/$AA81))</f>
        <v>#N/A</v>
      </c>
      <c r="Q81" s="1170" t="e">
        <f>IF('Regulação de polinização'!G$98&gt;$AA81,0, 'Apoio Regulação de Polinização'!Q24*2.7183^(-'Regulação de polinização'!G$98/$AA81))</f>
        <v>#N/A</v>
      </c>
      <c r="R81" s="1170" t="e">
        <f>IF('Regulação de polinização'!H$98&gt;$AA81,0, 'Apoio Regulação de Polinização'!R24*2.7183^(-'Regulação de polinização'!H$98/$AA81))</f>
        <v>#N/A</v>
      </c>
      <c r="S81" s="1170" t="e">
        <f>IF('Regulação de polinização'!I$98&gt;$AA81,0, 'Apoio Regulação de Polinização'!S24*2.7183^(-'Regulação de polinização'!I$98/$AA81))</f>
        <v>#N/A</v>
      </c>
      <c r="T81" s="1170" t="e">
        <f>IF('Regulação de polinização'!J$98&gt;$AA81,0, 'Apoio Regulação de Polinização'!T24*2.7183^(-'Regulação de polinização'!J$98/$AA81))</f>
        <v>#N/A</v>
      </c>
      <c r="U81" s="1170" t="e">
        <f>IF('Regulação de polinização'!K$98&gt;$AA81,0, 'Apoio Regulação de Polinização'!U24*2.7183^(-'Regulação de polinização'!K$98/$AA81))</f>
        <v>#N/A</v>
      </c>
      <c r="V81" s="1170" t="e">
        <f>IF('Regulação de polinização'!L$98&gt;$AA81,0, 'Apoio Regulação de Polinização'!V24*2.7183^(-'Regulação de polinização'!L$98/$AA81))</f>
        <v>#N/A</v>
      </c>
      <c r="W81" s="1170" t="e">
        <f>IF('Regulação de polinização'!M$98&gt;$AA81,0, 'Apoio Regulação de Polinização'!W24*2.7183^(-'Regulação de polinização'!M$98/$AA81))</f>
        <v>#N/A</v>
      </c>
      <c r="X81" s="1170" t="e">
        <f>IF('Regulação de polinização'!N$98&gt;$AA81,0, 'Apoio Regulação de Polinização'!X24*2.7183^(-'Regulação de polinização'!N$98/$AA81))</f>
        <v>#N/A</v>
      </c>
      <c r="Y81" s="1170" t="e">
        <f>IF('Regulação de polinização'!O$98&gt;$AA81,0, 'Apoio Regulação de Polinização'!Y24*2.7183^(-'Regulação de polinização'!O$98/$AA81))</f>
        <v>#N/A</v>
      </c>
      <c r="Z81" s="1170" t="e">
        <f>IF('Regulação de polinização'!P$98&gt;$AA81,0, 'Apoio Regulação de Polinização'!Z24*2.7183^(-'Regulação de polinização'!P$98/$AA81))</f>
        <v>#N/A</v>
      </c>
      <c r="AA81" s="1179" t="e">
        <f>'Apoio Regulação de Polinização'!AA24</f>
        <v>#N/A</v>
      </c>
    </row>
    <row r="82" spans="1:27" x14ac:dyDescent="0.25">
      <c r="C82" s="12" t="s">
        <v>994</v>
      </c>
      <c r="N82" s="1169">
        <f>'Apoio Regulação de Polinização'!N25</f>
        <v>0</v>
      </c>
      <c r="O82" s="1170" t="e">
        <f>IF('Regulação de polinização'!E$98&gt;$AA82,0, 'Apoio Regulação de Polinização'!O25*2.7183^(-'Regulação de polinização'!E$98/$AA82))</f>
        <v>#N/A</v>
      </c>
      <c r="P82" s="1170" t="e">
        <f>IF('Regulação de polinização'!F$98&gt;$AA82,0, 'Apoio Regulação de Polinização'!P25*2.7183^(-'Regulação de polinização'!F$98/$AA82))</f>
        <v>#N/A</v>
      </c>
      <c r="Q82" s="1170" t="e">
        <f>IF('Regulação de polinização'!G$98&gt;$AA82,0, 'Apoio Regulação de Polinização'!Q25*2.7183^(-'Regulação de polinização'!G$98/$AA82))</f>
        <v>#N/A</v>
      </c>
      <c r="R82" s="1170" t="e">
        <f>IF('Regulação de polinização'!H$98&gt;$AA82,0, 'Apoio Regulação de Polinização'!R25*2.7183^(-'Regulação de polinização'!H$98/$AA82))</f>
        <v>#N/A</v>
      </c>
      <c r="S82" s="1170" t="e">
        <f>IF('Regulação de polinização'!I$98&gt;$AA82,0, 'Apoio Regulação de Polinização'!S25*2.7183^(-'Regulação de polinização'!I$98/$AA82))</f>
        <v>#N/A</v>
      </c>
      <c r="T82" s="1170" t="e">
        <f>IF('Regulação de polinização'!J$98&gt;$AA82,0, 'Apoio Regulação de Polinização'!T25*2.7183^(-'Regulação de polinização'!J$98/$AA82))</f>
        <v>#N/A</v>
      </c>
      <c r="U82" s="1170" t="e">
        <f>IF('Regulação de polinização'!K$98&gt;$AA82,0, 'Apoio Regulação de Polinização'!U25*2.7183^(-'Regulação de polinização'!K$98/$AA82))</f>
        <v>#N/A</v>
      </c>
      <c r="V82" s="1170" t="e">
        <f>IF('Regulação de polinização'!L$98&gt;$AA82,0, 'Apoio Regulação de Polinização'!V25*2.7183^(-'Regulação de polinização'!L$98/$AA82))</f>
        <v>#N/A</v>
      </c>
      <c r="W82" s="1170" t="e">
        <f>IF('Regulação de polinização'!M$98&gt;$AA82,0, 'Apoio Regulação de Polinização'!W25*2.7183^(-'Regulação de polinização'!M$98/$AA82))</f>
        <v>#N/A</v>
      </c>
      <c r="X82" s="1170" t="e">
        <f>IF('Regulação de polinização'!N$98&gt;$AA82,0, 'Apoio Regulação de Polinização'!X25*2.7183^(-'Regulação de polinização'!N$98/$AA82))</f>
        <v>#N/A</v>
      </c>
      <c r="Y82" s="1170" t="e">
        <f>IF('Regulação de polinização'!O$98&gt;$AA82,0, 'Apoio Regulação de Polinização'!Y25*2.7183^(-'Regulação de polinização'!O$98/$AA82))</f>
        <v>#N/A</v>
      </c>
      <c r="Z82" s="1170" t="e">
        <f>IF('Regulação de polinização'!P$98&gt;$AA82,0, 'Apoio Regulação de Polinização'!Z25*2.7183^(-'Regulação de polinização'!P$98/$AA82))</f>
        <v>#N/A</v>
      </c>
      <c r="AA82" s="1179" t="e">
        <f>'Apoio Regulação de Polinização'!AA25</f>
        <v>#N/A</v>
      </c>
    </row>
    <row r="83" spans="1:27" x14ac:dyDescent="0.25">
      <c r="A83" s="12">
        <v>7</v>
      </c>
      <c r="B83" s="12" t="s">
        <v>995</v>
      </c>
      <c r="C83" s="12" t="s">
        <v>996</v>
      </c>
      <c r="N83" s="1169">
        <f>'Apoio Regulação de Polinização'!N26</f>
        <v>0</v>
      </c>
      <c r="O83" s="1170" t="e">
        <f>IF('Regulação de polinização'!E$98&gt;$AA83,0, 'Apoio Regulação de Polinização'!O26*2.7183^(-'Regulação de polinização'!E$98/$AA83))</f>
        <v>#N/A</v>
      </c>
      <c r="P83" s="1170" t="e">
        <f>IF('Regulação de polinização'!F$98&gt;$AA83,0, 'Apoio Regulação de Polinização'!P26*2.7183^(-'Regulação de polinização'!F$98/$AA83))</f>
        <v>#N/A</v>
      </c>
      <c r="Q83" s="1170" t="e">
        <f>IF('Regulação de polinização'!G$98&gt;$AA83,0, 'Apoio Regulação de Polinização'!Q26*2.7183^(-'Regulação de polinização'!G$98/$AA83))</f>
        <v>#N/A</v>
      </c>
      <c r="R83" s="1170" t="e">
        <f>IF('Regulação de polinização'!H$98&gt;$AA83,0, 'Apoio Regulação de Polinização'!R26*2.7183^(-'Regulação de polinização'!H$98/$AA83))</f>
        <v>#N/A</v>
      </c>
      <c r="S83" s="1170" t="e">
        <f>IF('Regulação de polinização'!I$98&gt;$AA83,0, 'Apoio Regulação de Polinização'!S26*2.7183^(-'Regulação de polinização'!I$98/$AA83))</f>
        <v>#N/A</v>
      </c>
      <c r="T83" s="1170" t="e">
        <f>IF('Regulação de polinização'!J$98&gt;$AA83,0, 'Apoio Regulação de Polinização'!T26*2.7183^(-'Regulação de polinização'!J$98/$AA83))</f>
        <v>#N/A</v>
      </c>
      <c r="U83" s="1170" t="e">
        <f>IF('Regulação de polinização'!K$98&gt;$AA83,0, 'Apoio Regulação de Polinização'!U26*2.7183^(-'Regulação de polinização'!K$98/$AA83))</f>
        <v>#N/A</v>
      </c>
      <c r="V83" s="1170" t="e">
        <f>IF('Regulação de polinização'!L$98&gt;$AA83,0, 'Apoio Regulação de Polinização'!V26*2.7183^(-'Regulação de polinização'!L$98/$AA83))</f>
        <v>#N/A</v>
      </c>
      <c r="W83" s="1170" t="e">
        <f>IF('Regulação de polinização'!M$98&gt;$AA83,0, 'Apoio Regulação de Polinização'!W26*2.7183^(-'Regulação de polinização'!M$98/$AA83))</f>
        <v>#N/A</v>
      </c>
      <c r="X83" s="1170" t="e">
        <f>IF('Regulação de polinização'!N$98&gt;$AA83,0, 'Apoio Regulação de Polinização'!X26*2.7183^(-'Regulação de polinização'!N$98/$AA83))</f>
        <v>#N/A</v>
      </c>
      <c r="Y83" s="1170" t="e">
        <f>IF('Regulação de polinização'!O$98&gt;$AA83,0, 'Apoio Regulação de Polinização'!Y26*2.7183^(-'Regulação de polinização'!O$98/$AA83))</f>
        <v>#N/A</v>
      </c>
      <c r="Z83" s="1170" t="e">
        <f>IF('Regulação de polinização'!P$98&gt;$AA83,0, 'Apoio Regulação de Polinização'!Z26*2.7183^(-'Regulação de polinização'!P$98/$AA83))</f>
        <v>#N/A</v>
      </c>
      <c r="AA83" s="1179" t="e">
        <f>'Apoio Regulação de Polinização'!AA26</f>
        <v>#N/A</v>
      </c>
    </row>
    <row r="84" spans="1:27" ht="15.75" thickBot="1" x14ac:dyDescent="0.3">
      <c r="C84" s="12" t="s">
        <v>997</v>
      </c>
      <c r="N84" s="1171">
        <f>'Apoio Regulação de Polinização'!N27</f>
        <v>0</v>
      </c>
      <c r="O84" s="1172" t="e">
        <f>IF('Regulação de polinização'!E$98&gt;$AA84,0, 'Apoio Regulação de Polinização'!O27*2.7183^(-'Regulação de polinização'!E$98/$AA84))</f>
        <v>#N/A</v>
      </c>
      <c r="P84" s="1172" t="e">
        <f>IF('Regulação de polinização'!F$98&gt;$AA84,0, 'Apoio Regulação de Polinização'!P27*2.7183^(-'Regulação de polinização'!F$98/$AA84))</f>
        <v>#N/A</v>
      </c>
      <c r="Q84" s="1172" t="e">
        <f>IF('Regulação de polinização'!G$98&gt;$AA84,0, 'Apoio Regulação de Polinização'!Q27*2.7183^(-'Regulação de polinização'!G$98/$AA84))</f>
        <v>#N/A</v>
      </c>
      <c r="R84" s="1172" t="e">
        <f>IF('Regulação de polinização'!H$98&gt;$AA84,0, 'Apoio Regulação de Polinização'!R27*2.7183^(-'Regulação de polinização'!H$98/$AA84))</f>
        <v>#N/A</v>
      </c>
      <c r="S84" s="1172" t="e">
        <f>IF('Regulação de polinização'!I$98&gt;$AA84,0, 'Apoio Regulação de Polinização'!S27*2.7183^(-'Regulação de polinização'!I$98/$AA84))</f>
        <v>#N/A</v>
      </c>
      <c r="T84" s="1172" t="e">
        <f>IF('Regulação de polinização'!J$98&gt;$AA84,0, 'Apoio Regulação de Polinização'!T27*2.7183^(-'Regulação de polinização'!J$98/$AA84))</f>
        <v>#N/A</v>
      </c>
      <c r="U84" s="1172" t="e">
        <f>IF('Regulação de polinização'!K$98&gt;$AA84,0, 'Apoio Regulação de Polinização'!U27*2.7183^(-'Regulação de polinização'!K$98/$AA84))</f>
        <v>#N/A</v>
      </c>
      <c r="V84" s="1172" t="e">
        <f>IF('Regulação de polinização'!L$98&gt;$AA84,0, 'Apoio Regulação de Polinização'!V27*2.7183^(-'Regulação de polinização'!L$98/$AA84))</f>
        <v>#N/A</v>
      </c>
      <c r="W84" s="1172" t="e">
        <f>IF('Regulação de polinização'!M$98&gt;$AA84,0, 'Apoio Regulação de Polinização'!W27*2.7183^(-'Regulação de polinização'!M$98/$AA84))</f>
        <v>#N/A</v>
      </c>
      <c r="X84" s="1172" t="e">
        <f>IF('Regulação de polinização'!N$98&gt;$AA84,0, 'Apoio Regulação de Polinização'!X27*2.7183^(-'Regulação de polinização'!N$98/$AA84))</f>
        <v>#N/A</v>
      </c>
      <c r="Y84" s="1172" t="e">
        <f>IF('Regulação de polinização'!O$98&gt;$AA84,0, 'Apoio Regulação de Polinização'!Y27*2.7183^(-'Regulação de polinização'!O$98/$AA84))</f>
        <v>#N/A</v>
      </c>
      <c r="Z84" s="1172" t="e">
        <f>IF('Regulação de polinização'!P$98&gt;$AA84,0, 'Apoio Regulação de Polinização'!Z27*2.7183^(-'Regulação de polinização'!P$98/$AA84))</f>
        <v>#N/A</v>
      </c>
      <c r="AA84" s="1186" t="e">
        <f>'Apoio Regulação de Polinização'!AA27</f>
        <v>#N/A</v>
      </c>
    </row>
    <row r="85" spans="1:27" ht="15.75" thickTop="1" x14ac:dyDescent="0.25">
      <c r="C85" s="12" t="s">
        <v>998</v>
      </c>
      <c r="N85" s="1169">
        <f>'Apoio Regulação de Polinização'!N28</f>
        <v>0</v>
      </c>
      <c r="O85" s="1170" t="e">
        <f>IF('Regulação de polinização'!E$98&gt;$AA85,0, 'Apoio Regulação de Polinização'!O28*2.7183^(-'Regulação de polinização'!E$98/$AA85))</f>
        <v>#NUM!</v>
      </c>
      <c r="P85" s="1170" t="e">
        <f>IF('Regulação de polinização'!F$98&gt;$AA85,0, 'Apoio Regulação de Polinização'!P28*2.7183^(-'Regulação de polinização'!F$98/$AA85))</f>
        <v>#NUM!</v>
      </c>
      <c r="Q85" s="1170" t="e">
        <f>IF('Regulação de polinização'!G$98&gt;$AA85,0, 'Apoio Regulação de Polinização'!Q28*2.7183^(-'Regulação de polinização'!G$98/$AA85))</f>
        <v>#NUM!</v>
      </c>
      <c r="R85" s="1170" t="e">
        <f>IF('Regulação de polinização'!H$98&gt;$AA85,0, 'Apoio Regulação de Polinização'!R28*2.7183^(-'Regulação de polinização'!H$98/$AA85))</f>
        <v>#NUM!</v>
      </c>
      <c r="S85" s="1170" t="e">
        <f>IF('Regulação de polinização'!I$98&gt;$AA85,0, 'Apoio Regulação de Polinização'!S28*2.7183^(-'Regulação de polinização'!I$98/$AA85))</f>
        <v>#NUM!</v>
      </c>
      <c r="T85" s="1170" t="e">
        <f>IF('Regulação de polinização'!J$98&gt;$AA85,0, 'Apoio Regulação de Polinização'!T28*2.7183^(-'Regulação de polinização'!J$98/$AA85))</f>
        <v>#NUM!</v>
      </c>
      <c r="U85" s="1170" t="e">
        <f>IF('Regulação de polinização'!K$98&gt;$AA85,0, 'Apoio Regulação de Polinização'!U28*2.7183^(-'Regulação de polinização'!K$98/$AA85))</f>
        <v>#NUM!</v>
      </c>
      <c r="V85" s="1170" t="e">
        <f>IF('Regulação de polinização'!L$98&gt;$AA85,0, 'Apoio Regulação de Polinização'!V28*2.7183^(-'Regulação de polinização'!L$98/$AA85))</f>
        <v>#NUM!</v>
      </c>
      <c r="W85" s="1170" t="e">
        <f>IF('Regulação de polinização'!M$98&gt;$AA85,0, 'Apoio Regulação de Polinização'!W28*2.7183^(-'Regulação de polinização'!M$98/$AA85))</f>
        <v>#NUM!</v>
      </c>
      <c r="X85" s="1170" t="e">
        <f>IF('Regulação de polinização'!N$98&gt;$AA85,0, 'Apoio Regulação de Polinização'!X28*2.7183^(-'Regulação de polinização'!N$98/$AA85))</f>
        <v>#NUM!</v>
      </c>
      <c r="Y85" s="1170" t="e">
        <f>IF('Regulação de polinização'!O$98&gt;$AA85,0, 'Apoio Regulação de Polinização'!Y28*2.7183^(-'Regulação de polinização'!O$98/$AA85))</f>
        <v>#NUM!</v>
      </c>
      <c r="Z85" s="1170" t="e">
        <f>IF('Regulação de polinização'!P$98&gt;$AA85,0, 'Apoio Regulação de Polinização'!Z28*2.7183^(-'Regulação de polinização'!P$98/$AA85))</f>
        <v>#NUM!</v>
      </c>
      <c r="AA85" s="1179" t="e">
        <f>'Apoio Regulação de Polinização'!AA28</f>
        <v>#NUM!</v>
      </c>
    </row>
    <row r="86" spans="1:27" x14ac:dyDescent="0.25">
      <c r="N86" s="1169">
        <f>'Apoio Regulação de Polinização'!N29</f>
        <v>0</v>
      </c>
      <c r="O86" s="1170" t="e">
        <f>IF('Regulação de polinização'!E$98&gt;$AA86,0, 'Apoio Regulação de Polinização'!O29*2.7183^(-'Regulação de polinização'!E$98/$AA86))</f>
        <v>#NUM!</v>
      </c>
      <c r="P86" s="1170" t="e">
        <f>IF('Regulação de polinização'!F$98&gt;$AA86,0, 'Apoio Regulação de Polinização'!P29*2.7183^(-'Regulação de polinização'!F$98/$AA86))</f>
        <v>#NUM!</v>
      </c>
      <c r="Q86" s="1170" t="e">
        <f>IF('Regulação de polinização'!G$98&gt;$AA86,0, 'Apoio Regulação de Polinização'!Q29*2.7183^(-'Regulação de polinização'!G$98/$AA86))</f>
        <v>#NUM!</v>
      </c>
      <c r="R86" s="1170" t="e">
        <f>IF('Regulação de polinização'!H$98&gt;$AA86,0, 'Apoio Regulação de Polinização'!R29*2.7183^(-'Regulação de polinização'!H$98/$AA86))</f>
        <v>#NUM!</v>
      </c>
      <c r="S86" s="1170" t="e">
        <f>IF('Regulação de polinização'!I$98&gt;$AA86,0, 'Apoio Regulação de Polinização'!S29*2.7183^(-'Regulação de polinização'!I$98/$AA86))</f>
        <v>#NUM!</v>
      </c>
      <c r="T86" s="1170" t="e">
        <f>IF('Regulação de polinização'!J$98&gt;$AA86,0, 'Apoio Regulação de Polinização'!T29*2.7183^(-'Regulação de polinização'!J$98/$AA86))</f>
        <v>#NUM!</v>
      </c>
      <c r="U86" s="1170" t="e">
        <f>IF('Regulação de polinização'!K$98&gt;$AA86,0, 'Apoio Regulação de Polinização'!U29*2.7183^(-'Regulação de polinização'!K$98/$AA86))</f>
        <v>#NUM!</v>
      </c>
      <c r="V86" s="1170" t="e">
        <f>IF('Regulação de polinização'!L$98&gt;$AA86,0, 'Apoio Regulação de Polinização'!V29*2.7183^(-'Regulação de polinização'!L$98/$AA86))</f>
        <v>#NUM!</v>
      </c>
      <c r="W86" s="1170" t="e">
        <f>IF('Regulação de polinização'!M$98&gt;$AA86,0, 'Apoio Regulação de Polinização'!W29*2.7183^(-'Regulação de polinização'!M$98/$AA86))</f>
        <v>#NUM!</v>
      </c>
      <c r="X86" s="1170" t="e">
        <f>IF('Regulação de polinização'!N$98&gt;$AA86,0, 'Apoio Regulação de Polinização'!X29*2.7183^(-'Regulação de polinização'!N$98/$AA86))</f>
        <v>#NUM!</v>
      </c>
      <c r="Y86" s="1170" t="e">
        <f>IF('Regulação de polinização'!O$98&gt;$AA86,0, 'Apoio Regulação de Polinização'!Y29*2.7183^(-'Regulação de polinização'!O$98/$AA86))</f>
        <v>#NUM!</v>
      </c>
      <c r="Z86" s="1170" t="e">
        <f>IF('Regulação de polinização'!P$98&gt;$AA86,0, 'Apoio Regulação de Polinização'!Z29*2.7183^(-'Regulação de polinização'!P$98/$AA86))</f>
        <v>#NUM!</v>
      </c>
      <c r="AA86" s="1179" t="e">
        <f>'Apoio Regulação de Polinização'!AA29</f>
        <v>#NUM!</v>
      </c>
    </row>
    <row r="87" spans="1:27" x14ac:dyDescent="0.25">
      <c r="N87" s="1169">
        <f>'Apoio Regulação de Polinização'!N30</f>
        <v>0</v>
      </c>
      <c r="O87" s="1170" t="e">
        <f>IF('Regulação de polinização'!E$98&gt;$AA87,0, 'Apoio Regulação de Polinização'!O30*2.7183^(-'Regulação de polinização'!E$98/$AA87))</f>
        <v>#NUM!</v>
      </c>
      <c r="P87" s="1170" t="e">
        <f>IF('Regulação de polinização'!F$98&gt;$AA87,0, 'Apoio Regulação de Polinização'!P30*2.7183^(-'Regulação de polinização'!F$98/$AA87))</f>
        <v>#NUM!</v>
      </c>
      <c r="Q87" s="1170" t="e">
        <f>IF('Regulação de polinização'!G$98&gt;$AA87,0, 'Apoio Regulação de Polinização'!Q30*2.7183^(-'Regulação de polinização'!G$98/$AA87))</f>
        <v>#NUM!</v>
      </c>
      <c r="R87" s="1170" t="e">
        <f>IF('Regulação de polinização'!H$98&gt;$AA87,0, 'Apoio Regulação de Polinização'!R30*2.7183^(-'Regulação de polinização'!H$98/$AA87))</f>
        <v>#NUM!</v>
      </c>
      <c r="S87" s="1170" t="e">
        <f>IF('Regulação de polinização'!I$98&gt;$AA87,0, 'Apoio Regulação de Polinização'!S30*2.7183^(-'Regulação de polinização'!I$98/$AA87))</f>
        <v>#NUM!</v>
      </c>
      <c r="T87" s="1170" t="e">
        <f>IF('Regulação de polinização'!J$98&gt;$AA87,0, 'Apoio Regulação de Polinização'!T30*2.7183^(-'Regulação de polinização'!J$98/$AA87))</f>
        <v>#NUM!</v>
      </c>
      <c r="U87" s="1170" t="e">
        <f>IF('Regulação de polinização'!K$98&gt;$AA87,0, 'Apoio Regulação de Polinização'!U30*2.7183^(-'Regulação de polinização'!K$98/$AA87))</f>
        <v>#NUM!</v>
      </c>
      <c r="V87" s="1170" t="e">
        <f>IF('Regulação de polinização'!L$98&gt;$AA87,0, 'Apoio Regulação de Polinização'!V30*2.7183^(-'Regulação de polinização'!L$98/$AA87))</f>
        <v>#NUM!</v>
      </c>
      <c r="W87" s="1170" t="e">
        <f>IF('Regulação de polinização'!M$98&gt;$AA87,0, 'Apoio Regulação de Polinização'!W30*2.7183^(-'Regulação de polinização'!M$98/$AA87))</f>
        <v>#NUM!</v>
      </c>
      <c r="X87" s="1170" t="e">
        <f>IF('Regulação de polinização'!N$98&gt;$AA87,0, 'Apoio Regulação de Polinização'!X30*2.7183^(-'Regulação de polinização'!N$98/$AA87))</f>
        <v>#NUM!</v>
      </c>
      <c r="Y87" s="1170" t="e">
        <f>IF('Regulação de polinização'!O$98&gt;$AA87,0, 'Apoio Regulação de Polinização'!Y30*2.7183^(-'Regulação de polinização'!O$98/$AA87))</f>
        <v>#NUM!</v>
      </c>
      <c r="Z87" s="1170" t="e">
        <f>IF('Regulação de polinização'!P$98&gt;$AA87,0, 'Apoio Regulação de Polinização'!Z30*2.7183^(-'Regulação de polinização'!P$98/$AA87))</f>
        <v>#NUM!</v>
      </c>
      <c r="AA87" s="1179" t="e">
        <f>'Apoio Regulação de Polinização'!AA30</f>
        <v>#NUM!</v>
      </c>
    </row>
    <row r="88" spans="1:27" x14ac:dyDescent="0.25">
      <c r="B88" s="1143" t="s">
        <v>1484</v>
      </c>
      <c r="N88" s="1169">
        <f>'Apoio Regulação de Polinização'!N31</f>
        <v>0</v>
      </c>
      <c r="O88" s="1170" t="e">
        <f>IF('Regulação de polinização'!E$98&gt;$AA88,0, 'Apoio Regulação de Polinização'!O31*2.7183^(-'Regulação de polinização'!E$98/$AA88))</f>
        <v>#NUM!</v>
      </c>
      <c r="P88" s="1170" t="e">
        <f>IF('Regulação de polinização'!F$98&gt;$AA88,0, 'Apoio Regulação de Polinização'!P31*2.7183^(-'Regulação de polinização'!F$98/$AA88))</f>
        <v>#NUM!</v>
      </c>
      <c r="Q88" s="1170" t="e">
        <f>IF('Regulação de polinização'!G$98&gt;$AA88,0, 'Apoio Regulação de Polinização'!Q31*2.7183^(-'Regulação de polinização'!G$98/$AA88))</f>
        <v>#NUM!</v>
      </c>
      <c r="R88" s="1170" t="e">
        <f>IF('Regulação de polinização'!H$98&gt;$AA88,0, 'Apoio Regulação de Polinização'!R31*2.7183^(-'Regulação de polinização'!H$98/$AA88))</f>
        <v>#NUM!</v>
      </c>
      <c r="S88" s="1170" t="e">
        <f>IF('Regulação de polinização'!I$98&gt;$AA88,0, 'Apoio Regulação de Polinização'!S31*2.7183^(-'Regulação de polinização'!I$98/$AA88))</f>
        <v>#NUM!</v>
      </c>
      <c r="T88" s="1170" t="e">
        <f>IF('Regulação de polinização'!J$98&gt;$AA88,0, 'Apoio Regulação de Polinização'!T31*2.7183^(-'Regulação de polinização'!J$98/$AA88))</f>
        <v>#NUM!</v>
      </c>
      <c r="U88" s="1170" t="e">
        <f>IF('Regulação de polinização'!K$98&gt;$AA88,0, 'Apoio Regulação de Polinização'!U31*2.7183^(-'Regulação de polinização'!K$98/$AA88))</f>
        <v>#NUM!</v>
      </c>
      <c r="V88" s="1170" t="e">
        <f>IF('Regulação de polinização'!L$98&gt;$AA88,0, 'Apoio Regulação de Polinização'!V31*2.7183^(-'Regulação de polinização'!L$98/$AA88))</f>
        <v>#NUM!</v>
      </c>
      <c r="W88" s="1170" t="e">
        <f>IF('Regulação de polinização'!M$98&gt;$AA88,0, 'Apoio Regulação de Polinização'!W31*2.7183^(-'Regulação de polinização'!M$98/$AA88))</f>
        <v>#NUM!</v>
      </c>
      <c r="X88" s="1170" t="e">
        <f>IF('Regulação de polinização'!N$98&gt;$AA88,0, 'Apoio Regulação de Polinização'!X31*2.7183^(-'Regulação de polinização'!N$98/$AA88))</f>
        <v>#NUM!</v>
      </c>
      <c r="Y88" s="1170" t="e">
        <f>IF('Regulação de polinização'!O$98&gt;$AA88,0, 'Apoio Regulação de Polinização'!Y31*2.7183^(-'Regulação de polinização'!O$98/$AA88))</f>
        <v>#NUM!</v>
      </c>
      <c r="Z88" s="1170" t="e">
        <f>IF('Regulação de polinização'!P$98&gt;$AA88,0, 'Apoio Regulação de Polinização'!Z31*2.7183^(-'Regulação de polinização'!P$98/$AA88))</f>
        <v>#NUM!</v>
      </c>
      <c r="AA88" s="1179" t="e">
        <f>'Apoio Regulação de Polinização'!AA31</f>
        <v>#NUM!</v>
      </c>
    </row>
    <row r="89" spans="1:27" ht="15.75" thickBot="1" x14ac:dyDescent="0.3">
      <c r="B89" s="1144" t="s">
        <v>741</v>
      </c>
      <c r="C89" s="1144" t="s">
        <v>742</v>
      </c>
      <c r="D89" s="1144" t="s">
        <v>743</v>
      </c>
      <c r="E89" s="1886" t="s">
        <v>744</v>
      </c>
      <c r="F89" s="1886"/>
      <c r="G89" s="1886"/>
      <c r="H89" s="1886"/>
      <c r="I89" s="1886"/>
      <c r="J89" s="1144" t="s">
        <v>745</v>
      </c>
      <c r="K89" s="1146" t="s">
        <v>726</v>
      </c>
      <c r="N89" s="1169">
        <f>'Apoio Regulação de Polinização'!N32</f>
        <v>0</v>
      </c>
      <c r="O89" s="1170" t="e">
        <f>IF('Regulação de polinização'!E$98&gt;$AA89,0, 'Apoio Regulação de Polinização'!O32*2.7183^(-'Regulação de polinização'!E$98/$AA89))</f>
        <v>#NUM!</v>
      </c>
      <c r="P89" s="1170" t="e">
        <f>IF('Regulação de polinização'!F$98&gt;$AA89,0, 'Apoio Regulação de Polinização'!P32*2.7183^(-'Regulação de polinização'!F$98/$AA89))</f>
        <v>#NUM!</v>
      </c>
      <c r="Q89" s="1170" t="e">
        <f>IF('Regulação de polinização'!G$98&gt;$AA89,0, 'Apoio Regulação de Polinização'!Q32*2.7183^(-'Regulação de polinização'!G$98/$AA89))</f>
        <v>#NUM!</v>
      </c>
      <c r="R89" s="1170" t="e">
        <f>IF('Regulação de polinização'!H$98&gt;$AA89,0, 'Apoio Regulação de Polinização'!R32*2.7183^(-'Regulação de polinização'!H$98/$AA89))</f>
        <v>#NUM!</v>
      </c>
      <c r="S89" s="1170" t="e">
        <f>IF('Regulação de polinização'!I$98&gt;$AA89,0, 'Apoio Regulação de Polinização'!S32*2.7183^(-'Regulação de polinização'!I$98/$AA89))</f>
        <v>#NUM!</v>
      </c>
      <c r="T89" s="1170" t="e">
        <f>IF('Regulação de polinização'!J$98&gt;$AA89,0, 'Apoio Regulação de Polinização'!T32*2.7183^(-'Regulação de polinização'!J$98/$AA89))</f>
        <v>#NUM!</v>
      </c>
      <c r="U89" s="1170" t="e">
        <f>IF('Regulação de polinização'!K$98&gt;$AA89,0, 'Apoio Regulação de Polinização'!U32*2.7183^(-'Regulação de polinização'!K$98/$AA89))</f>
        <v>#NUM!</v>
      </c>
      <c r="V89" s="1170" t="e">
        <f>IF('Regulação de polinização'!L$98&gt;$AA89,0, 'Apoio Regulação de Polinização'!V32*2.7183^(-'Regulação de polinização'!L$98/$AA89))</f>
        <v>#NUM!</v>
      </c>
      <c r="W89" s="1170" t="e">
        <f>IF('Regulação de polinização'!M$98&gt;$AA89,0, 'Apoio Regulação de Polinização'!W32*2.7183^(-'Regulação de polinização'!M$98/$AA89))</f>
        <v>#NUM!</v>
      </c>
      <c r="X89" s="1170" t="e">
        <f>IF('Regulação de polinização'!N$98&gt;$AA89,0, 'Apoio Regulação de Polinização'!X32*2.7183^(-'Regulação de polinização'!N$98/$AA89))</f>
        <v>#NUM!</v>
      </c>
      <c r="Y89" s="1170" t="e">
        <f>IF('Regulação de polinização'!O$98&gt;$AA89,0, 'Apoio Regulação de Polinização'!Y32*2.7183^(-'Regulação de polinização'!O$98/$AA89))</f>
        <v>#NUM!</v>
      </c>
      <c r="Z89" s="1170" t="e">
        <f>IF('Regulação de polinização'!P$98&gt;$AA89,0, 'Apoio Regulação de Polinização'!Z32*2.7183^(-'Regulação de polinização'!P$98/$AA89))</f>
        <v>#NUM!</v>
      </c>
      <c r="AA89" s="1179" t="e">
        <f>'Apoio Regulação de Polinização'!AA32</f>
        <v>#NUM!</v>
      </c>
    </row>
    <row r="90" spans="1:27" ht="15.75" thickTop="1" x14ac:dyDescent="0.25">
      <c r="B90" s="1921" t="s">
        <v>746</v>
      </c>
      <c r="C90" s="1921" t="s">
        <v>729</v>
      </c>
      <c r="D90" s="1921" t="s">
        <v>729</v>
      </c>
      <c r="E90" s="1897" t="s">
        <v>1485</v>
      </c>
      <c r="F90" s="1897"/>
      <c r="G90" s="1897"/>
      <c r="H90" s="1897"/>
      <c r="I90" s="1897"/>
      <c r="J90" s="1921" t="s">
        <v>729</v>
      </c>
      <c r="K90" s="1921">
        <v>0.64</v>
      </c>
      <c r="N90" s="1169">
        <f>'Apoio Regulação de Polinização'!N33</f>
        <v>0</v>
      </c>
      <c r="O90" s="1170" t="e">
        <f>IF('Regulação de polinização'!E$98&gt;$AA90,0, 'Apoio Regulação de Polinização'!O33*2.7183^(-'Regulação de polinização'!E$98/$AA90))</f>
        <v>#NUM!</v>
      </c>
      <c r="P90" s="1170" t="e">
        <f>IF('Regulação de polinização'!F$98&gt;$AA90,0, 'Apoio Regulação de Polinização'!P33*2.7183^(-'Regulação de polinização'!F$98/$AA90))</f>
        <v>#NUM!</v>
      </c>
      <c r="Q90" s="1170" t="e">
        <f>IF('Regulação de polinização'!G$98&gt;$AA90,0, 'Apoio Regulação de Polinização'!Q33*2.7183^(-'Regulação de polinização'!G$98/$AA90))</f>
        <v>#NUM!</v>
      </c>
      <c r="R90" s="1170" t="e">
        <f>IF('Regulação de polinização'!H$98&gt;$AA90,0, 'Apoio Regulação de Polinização'!R33*2.7183^(-'Regulação de polinização'!H$98/$AA90))</f>
        <v>#NUM!</v>
      </c>
      <c r="S90" s="1170" t="e">
        <f>IF('Regulação de polinização'!I$98&gt;$AA90,0, 'Apoio Regulação de Polinização'!S33*2.7183^(-'Regulação de polinização'!I$98/$AA90))</f>
        <v>#NUM!</v>
      </c>
      <c r="T90" s="1170" t="e">
        <f>IF('Regulação de polinização'!J$98&gt;$AA90,0, 'Apoio Regulação de Polinização'!T33*2.7183^(-'Regulação de polinização'!J$98/$AA90))</f>
        <v>#NUM!</v>
      </c>
      <c r="U90" s="1170" t="e">
        <f>IF('Regulação de polinização'!K$98&gt;$AA90,0, 'Apoio Regulação de Polinização'!U33*2.7183^(-'Regulação de polinização'!K$98/$AA90))</f>
        <v>#NUM!</v>
      </c>
      <c r="V90" s="1170" t="e">
        <f>IF('Regulação de polinização'!L$98&gt;$AA90,0, 'Apoio Regulação de Polinização'!V33*2.7183^(-'Regulação de polinização'!L$98/$AA90))</f>
        <v>#NUM!</v>
      </c>
      <c r="W90" s="1170" t="e">
        <f>IF('Regulação de polinização'!M$98&gt;$AA90,0, 'Apoio Regulação de Polinização'!W33*2.7183^(-'Regulação de polinização'!M$98/$AA90))</f>
        <v>#NUM!</v>
      </c>
      <c r="X90" s="1170" t="e">
        <f>IF('Regulação de polinização'!N$98&gt;$AA90,0, 'Apoio Regulação de Polinização'!X33*2.7183^(-'Regulação de polinização'!N$98/$AA90))</f>
        <v>#NUM!</v>
      </c>
      <c r="Y90" s="1170" t="e">
        <f>IF('Regulação de polinização'!O$98&gt;$AA90,0, 'Apoio Regulação de Polinização'!Y33*2.7183^(-'Regulação de polinização'!O$98/$AA90))</f>
        <v>#NUM!</v>
      </c>
      <c r="Z90" s="1170" t="e">
        <f>IF('Regulação de polinização'!P$98&gt;$AA90,0, 'Apoio Regulação de Polinização'!Z33*2.7183^(-'Regulação de polinização'!P$98/$AA90))</f>
        <v>#NUM!</v>
      </c>
      <c r="AA90" s="1179" t="e">
        <f>'Apoio Regulação de Polinização'!AA33</f>
        <v>#NUM!</v>
      </c>
    </row>
    <row r="91" spans="1:27" x14ac:dyDescent="0.25">
      <c r="B91" s="1820"/>
      <c r="C91" s="1820"/>
      <c r="D91" s="1820"/>
      <c r="E91" s="1826"/>
      <c r="F91" s="1826"/>
      <c r="G91" s="1826"/>
      <c r="H91" s="1826"/>
      <c r="I91" s="1826"/>
      <c r="J91" s="1820"/>
      <c r="K91" s="1820"/>
      <c r="N91" s="1169">
        <f>'Apoio Regulação de Polinização'!N34</f>
        <v>0</v>
      </c>
      <c r="O91" s="1170" t="e">
        <f>IF('Regulação de polinização'!E$98&gt;$AA91,0, 'Apoio Regulação de Polinização'!O34*2.7183^(-'Regulação de polinização'!E$98/$AA91))</f>
        <v>#NUM!</v>
      </c>
      <c r="P91" s="1170" t="e">
        <f>IF('Regulação de polinização'!F$98&gt;$AA91,0, 'Apoio Regulação de Polinização'!P34*2.7183^(-'Regulação de polinização'!F$98/$AA91))</f>
        <v>#NUM!</v>
      </c>
      <c r="Q91" s="1170" t="e">
        <f>IF('Regulação de polinização'!G$98&gt;$AA91,0, 'Apoio Regulação de Polinização'!Q34*2.7183^(-'Regulação de polinização'!G$98/$AA91))</f>
        <v>#NUM!</v>
      </c>
      <c r="R91" s="1170" t="e">
        <f>IF('Regulação de polinização'!H$98&gt;$AA91,0, 'Apoio Regulação de Polinização'!R34*2.7183^(-'Regulação de polinização'!H$98/$AA91))</f>
        <v>#NUM!</v>
      </c>
      <c r="S91" s="1170" t="e">
        <f>IF('Regulação de polinização'!I$98&gt;$AA91,0, 'Apoio Regulação de Polinização'!S34*2.7183^(-'Regulação de polinização'!I$98/$AA91))</f>
        <v>#NUM!</v>
      </c>
      <c r="T91" s="1170" t="e">
        <f>IF('Regulação de polinização'!J$98&gt;$AA91,0, 'Apoio Regulação de Polinização'!T34*2.7183^(-'Regulação de polinização'!J$98/$AA91))</f>
        <v>#NUM!</v>
      </c>
      <c r="U91" s="1170" t="e">
        <f>IF('Regulação de polinização'!K$98&gt;$AA91,0, 'Apoio Regulação de Polinização'!U34*2.7183^(-'Regulação de polinização'!K$98/$AA91))</f>
        <v>#NUM!</v>
      </c>
      <c r="V91" s="1170" t="e">
        <f>IF('Regulação de polinização'!L$98&gt;$AA91,0, 'Apoio Regulação de Polinização'!V34*2.7183^(-'Regulação de polinização'!L$98/$AA91))</f>
        <v>#NUM!</v>
      </c>
      <c r="W91" s="1170" t="e">
        <f>IF('Regulação de polinização'!M$98&gt;$AA91,0, 'Apoio Regulação de Polinização'!W34*2.7183^(-'Regulação de polinização'!M$98/$AA91))</f>
        <v>#NUM!</v>
      </c>
      <c r="X91" s="1170" t="e">
        <f>IF('Regulação de polinização'!N$98&gt;$AA91,0, 'Apoio Regulação de Polinização'!X34*2.7183^(-'Regulação de polinização'!N$98/$AA91))</f>
        <v>#NUM!</v>
      </c>
      <c r="Y91" s="1170" t="e">
        <f>IF('Regulação de polinização'!O$98&gt;$AA91,0, 'Apoio Regulação de Polinização'!Y34*2.7183^(-'Regulação de polinização'!O$98/$AA91))</f>
        <v>#NUM!</v>
      </c>
      <c r="Z91" s="1170" t="e">
        <f>IF('Regulação de polinização'!P$98&gt;$AA91,0, 'Apoio Regulação de Polinização'!Z34*2.7183^(-'Regulação de polinização'!P$98/$AA91))</f>
        <v>#NUM!</v>
      </c>
      <c r="AA91" s="1179" t="e">
        <f>'Apoio Regulação de Polinização'!AA34</f>
        <v>#NUM!</v>
      </c>
    </row>
    <row r="92" spans="1:27" x14ac:dyDescent="0.25">
      <c r="B92" s="1881"/>
      <c r="C92" s="1881"/>
      <c r="D92" s="1881"/>
      <c r="E92" s="1896"/>
      <c r="F92" s="1896"/>
      <c r="G92" s="1896"/>
      <c r="H92" s="1896"/>
      <c r="I92" s="1896"/>
      <c r="J92" s="1881"/>
      <c r="K92" s="1881"/>
      <c r="N92" s="1169">
        <f>'Apoio Regulação de Polinização'!N35</f>
        <v>0</v>
      </c>
      <c r="O92" s="1170" t="e">
        <f>IF('Regulação de polinização'!E$98&gt;$AA92,0, 'Apoio Regulação de Polinização'!O35*2.7183^(-'Regulação de polinização'!E$98/$AA92))</f>
        <v>#NUM!</v>
      </c>
      <c r="P92" s="1170" t="e">
        <f>IF('Regulação de polinização'!F$98&gt;$AA92,0, 'Apoio Regulação de Polinização'!P35*2.7183^(-'Regulação de polinização'!F$98/$AA92))</f>
        <v>#NUM!</v>
      </c>
      <c r="Q92" s="1170" t="e">
        <f>IF('Regulação de polinização'!G$98&gt;$AA92,0, 'Apoio Regulação de Polinização'!Q35*2.7183^(-'Regulação de polinização'!G$98/$AA92))</f>
        <v>#NUM!</v>
      </c>
      <c r="R92" s="1170" t="e">
        <f>IF('Regulação de polinização'!H$98&gt;$AA92,0, 'Apoio Regulação de Polinização'!R35*2.7183^(-'Regulação de polinização'!H$98/$AA92))</f>
        <v>#NUM!</v>
      </c>
      <c r="S92" s="1170" t="e">
        <f>IF('Regulação de polinização'!I$98&gt;$AA92,0, 'Apoio Regulação de Polinização'!S35*2.7183^(-'Regulação de polinização'!I$98/$AA92))</f>
        <v>#NUM!</v>
      </c>
      <c r="T92" s="1170" t="e">
        <f>IF('Regulação de polinização'!J$98&gt;$AA92,0, 'Apoio Regulação de Polinização'!T35*2.7183^(-'Regulação de polinização'!J$98/$AA92))</f>
        <v>#NUM!</v>
      </c>
      <c r="U92" s="1170" t="e">
        <f>IF('Regulação de polinização'!K$98&gt;$AA92,0, 'Apoio Regulação de Polinização'!U35*2.7183^(-'Regulação de polinização'!K$98/$AA92))</f>
        <v>#NUM!</v>
      </c>
      <c r="V92" s="1170" t="e">
        <f>IF('Regulação de polinização'!L$98&gt;$AA92,0, 'Apoio Regulação de Polinização'!V35*2.7183^(-'Regulação de polinização'!L$98/$AA92))</f>
        <v>#NUM!</v>
      </c>
      <c r="W92" s="1170" t="e">
        <f>IF('Regulação de polinização'!M$98&gt;$AA92,0, 'Apoio Regulação de Polinização'!W35*2.7183^(-'Regulação de polinização'!M$98/$AA92))</f>
        <v>#NUM!</v>
      </c>
      <c r="X92" s="1170" t="e">
        <f>IF('Regulação de polinização'!N$98&gt;$AA92,0, 'Apoio Regulação de Polinização'!X35*2.7183^(-'Regulação de polinização'!N$98/$AA92))</f>
        <v>#NUM!</v>
      </c>
      <c r="Y92" s="1170" t="e">
        <f>IF('Regulação de polinização'!O$98&gt;$AA92,0, 'Apoio Regulação de Polinização'!Y35*2.7183^(-'Regulação de polinização'!O$98/$AA92))</f>
        <v>#NUM!</v>
      </c>
      <c r="Z92" s="1170" t="e">
        <f>IF('Regulação de polinização'!P$98&gt;$AA92,0, 'Apoio Regulação de Polinização'!Z35*2.7183^(-'Regulação de polinização'!P$98/$AA92))</f>
        <v>#NUM!</v>
      </c>
      <c r="AA92" s="1179" t="e">
        <f>'Apoio Regulação de Polinização'!AA35</f>
        <v>#NUM!</v>
      </c>
    </row>
    <row r="93" spans="1:27" x14ac:dyDescent="0.25">
      <c r="B93" s="1880" t="s">
        <v>746</v>
      </c>
      <c r="C93" s="1880" t="s">
        <v>749</v>
      </c>
      <c r="D93" s="1877" t="s">
        <v>750</v>
      </c>
      <c r="E93" s="1895" t="s">
        <v>1560</v>
      </c>
      <c r="F93" s="1895"/>
      <c r="G93" s="1895"/>
      <c r="H93" s="1895"/>
      <c r="I93" s="1895"/>
      <c r="J93" s="1877" t="s">
        <v>748</v>
      </c>
      <c r="K93" s="1880">
        <v>0.71</v>
      </c>
      <c r="N93" s="1169">
        <f>'Apoio Regulação de Polinização'!N36</f>
        <v>0</v>
      </c>
      <c r="O93" s="1170" t="e">
        <f>IF('Regulação de polinização'!E$98&gt;$AA93,0, 'Apoio Regulação de Polinização'!O36*2.7183^(-'Regulação de polinização'!E$98/$AA93))</f>
        <v>#NUM!</v>
      </c>
      <c r="P93" s="1170" t="e">
        <f>IF('Regulação de polinização'!F$98&gt;$AA93,0, 'Apoio Regulação de Polinização'!P36*2.7183^(-'Regulação de polinização'!F$98/$AA93))</f>
        <v>#NUM!</v>
      </c>
      <c r="Q93" s="1170" t="e">
        <f>IF('Regulação de polinização'!G$98&gt;$AA93,0, 'Apoio Regulação de Polinização'!Q36*2.7183^(-'Regulação de polinização'!G$98/$AA93))</f>
        <v>#NUM!</v>
      </c>
      <c r="R93" s="1170" t="e">
        <f>IF('Regulação de polinização'!H$98&gt;$AA93,0, 'Apoio Regulação de Polinização'!R36*2.7183^(-'Regulação de polinização'!H$98/$AA93))</f>
        <v>#NUM!</v>
      </c>
      <c r="S93" s="1170" t="e">
        <f>IF('Regulação de polinização'!I$98&gt;$AA93,0, 'Apoio Regulação de Polinização'!S36*2.7183^(-'Regulação de polinização'!I$98/$AA93))</f>
        <v>#NUM!</v>
      </c>
      <c r="T93" s="1170" t="e">
        <f>IF('Regulação de polinização'!J$98&gt;$AA93,0, 'Apoio Regulação de Polinização'!T36*2.7183^(-'Regulação de polinização'!J$98/$AA93))</f>
        <v>#NUM!</v>
      </c>
      <c r="U93" s="1170" t="e">
        <f>IF('Regulação de polinização'!K$98&gt;$AA93,0, 'Apoio Regulação de Polinização'!U36*2.7183^(-'Regulação de polinização'!K$98/$AA93))</f>
        <v>#NUM!</v>
      </c>
      <c r="V93" s="1170" t="e">
        <f>IF('Regulação de polinização'!L$98&gt;$AA93,0, 'Apoio Regulação de Polinização'!V36*2.7183^(-'Regulação de polinização'!L$98/$AA93))</f>
        <v>#NUM!</v>
      </c>
      <c r="W93" s="1170" t="e">
        <f>IF('Regulação de polinização'!M$98&gt;$AA93,0, 'Apoio Regulação de Polinização'!W36*2.7183^(-'Regulação de polinização'!M$98/$AA93))</f>
        <v>#NUM!</v>
      </c>
      <c r="X93" s="1170" t="e">
        <f>IF('Regulação de polinização'!N$98&gt;$AA93,0, 'Apoio Regulação de Polinização'!X36*2.7183^(-'Regulação de polinização'!N$98/$AA93))</f>
        <v>#NUM!</v>
      </c>
      <c r="Y93" s="1170" t="e">
        <f>IF('Regulação de polinização'!O$98&gt;$AA93,0, 'Apoio Regulação de Polinização'!Y36*2.7183^(-'Regulação de polinização'!O$98/$AA93))</f>
        <v>#NUM!</v>
      </c>
      <c r="Z93" s="1170" t="e">
        <f>IF('Regulação de polinização'!P$98&gt;$AA93,0, 'Apoio Regulação de Polinização'!Z36*2.7183^(-'Regulação de polinização'!P$98/$AA93))</f>
        <v>#NUM!</v>
      </c>
      <c r="AA93" s="1179" t="e">
        <f>'Apoio Regulação de Polinização'!AA36</f>
        <v>#NUM!</v>
      </c>
    </row>
    <row r="94" spans="1:27" x14ac:dyDescent="0.25">
      <c r="B94" s="1820"/>
      <c r="C94" s="1820"/>
      <c r="D94" s="1878"/>
      <c r="E94" s="1826"/>
      <c r="F94" s="1826"/>
      <c r="G94" s="1826"/>
      <c r="H94" s="1826"/>
      <c r="I94" s="1826"/>
      <c r="J94" s="1878"/>
      <c r="K94" s="1820"/>
      <c r="N94" s="1169">
        <f>'Apoio Regulação de Polinização'!N37</f>
        <v>0</v>
      </c>
      <c r="O94" s="1170" t="e">
        <f>IF('Regulação de polinização'!E$98&gt;$AA94,0, 'Apoio Regulação de Polinização'!O37*2.7183^(-'Regulação de polinização'!E$98/$AA94))</f>
        <v>#NUM!</v>
      </c>
      <c r="P94" s="1170" t="e">
        <f>IF('Regulação de polinização'!F$98&gt;$AA94,0, 'Apoio Regulação de Polinização'!P37*2.7183^(-'Regulação de polinização'!F$98/$AA94))</f>
        <v>#NUM!</v>
      </c>
      <c r="Q94" s="1170" t="e">
        <f>IF('Regulação de polinização'!G$98&gt;$AA94,0, 'Apoio Regulação de Polinização'!Q37*2.7183^(-'Regulação de polinização'!G$98/$AA94))</f>
        <v>#NUM!</v>
      </c>
      <c r="R94" s="1170" t="e">
        <f>IF('Regulação de polinização'!H$98&gt;$AA94,0, 'Apoio Regulação de Polinização'!R37*2.7183^(-'Regulação de polinização'!H$98/$AA94))</f>
        <v>#NUM!</v>
      </c>
      <c r="S94" s="1170" t="e">
        <f>IF('Regulação de polinização'!I$98&gt;$AA94,0, 'Apoio Regulação de Polinização'!S37*2.7183^(-'Regulação de polinização'!I$98/$AA94))</f>
        <v>#NUM!</v>
      </c>
      <c r="T94" s="1170" t="e">
        <f>IF('Regulação de polinização'!J$98&gt;$AA94,0, 'Apoio Regulação de Polinização'!T37*2.7183^(-'Regulação de polinização'!J$98/$AA94))</f>
        <v>#NUM!</v>
      </c>
      <c r="U94" s="1170" t="e">
        <f>IF('Regulação de polinização'!K$98&gt;$AA94,0, 'Apoio Regulação de Polinização'!U37*2.7183^(-'Regulação de polinização'!K$98/$AA94))</f>
        <v>#NUM!</v>
      </c>
      <c r="V94" s="1170" t="e">
        <f>IF('Regulação de polinização'!L$98&gt;$AA94,0, 'Apoio Regulação de Polinização'!V37*2.7183^(-'Regulação de polinização'!L$98/$AA94))</f>
        <v>#NUM!</v>
      </c>
      <c r="W94" s="1170" t="e">
        <f>IF('Regulação de polinização'!M$98&gt;$AA94,0, 'Apoio Regulação de Polinização'!W37*2.7183^(-'Regulação de polinização'!M$98/$AA94))</f>
        <v>#NUM!</v>
      </c>
      <c r="X94" s="1170" t="e">
        <f>IF('Regulação de polinização'!N$98&gt;$AA94,0, 'Apoio Regulação de Polinização'!X37*2.7183^(-'Regulação de polinização'!N$98/$AA94))</f>
        <v>#NUM!</v>
      </c>
      <c r="Y94" s="1170" t="e">
        <f>IF('Regulação de polinização'!O$98&gt;$AA94,0, 'Apoio Regulação de Polinização'!Y37*2.7183^(-'Regulação de polinização'!O$98/$AA94))</f>
        <v>#NUM!</v>
      </c>
      <c r="Z94" s="1170" t="e">
        <f>IF('Regulação de polinização'!P$98&gt;$AA94,0, 'Apoio Regulação de Polinização'!Z37*2.7183^(-'Regulação de polinização'!P$98/$AA94))</f>
        <v>#NUM!</v>
      </c>
      <c r="AA94" s="1179" t="e">
        <f>'Apoio Regulação de Polinização'!AA37</f>
        <v>#NUM!</v>
      </c>
    </row>
    <row r="95" spans="1:27" x14ac:dyDescent="0.25">
      <c r="B95" s="1820"/>
      <c r="C95" s="1820"/>
      <c r="D95" s="1878"/>
      <c r="E95" s="1826"/>
      <c r="F95" s="1826"/>
      <c r="G95" s="1826"/>
      <c r="H95" s="1826"/>
      <c r="I95" s="1826"/>
      <c r="J95" s="1878"/>
      <c r="K95" s="1820"/>
      <c r="N95" s="1169">
        <f>'Apoio Regulação de Polinização'!N38</f>
        <v>0</v>
      </c>
      <c r="O95" s="1170" t="e">
        <f>IF('Regulação de polinização'!E$98&gt;$AA95,0, 'Apoio Regulação de Polinização'!O38*2.7183^(-'Regulação de polinização'!E$98/$AA95))</f>
        <v>#NUM!</v>
      </c>
      <c r="P95" s="1170" t="e">
        <f>IF('Regulação de polinização'!F$98&gt;$AA95,0, 'Apoio Regulação de Polinização'!P38*2.7183^(-'Regulação de polinização'!F$98/$AA95))</f>
        <v>#NUM!</v>
      </c>
      <c r="Q95" s="1170" t="e">
        <f>IF('Regulação de polinização'!G$98&gt;$AA95,0, 'Apoio Regulação de Polinização'!Q38*2.7183^(-'Regulação de polinização'!G$98/$AA95))</f>
        <v>#NUM!</v>
      </c>
      <c r="R95" s="1170" t="e">
        <f>IF('Regulação de polinização'!H$98&gt;$AA95,0, 'Apoio Regulação de Polinização'!R38*2.7183^(-'Regulação de polinização'!H$98/$AA95))</f>
        <v>#NUM!</v>
      </c>
      <c r="S95" s="1170" t="e">
        <f>IF('Regulação de polinização'!I$98&gt;$AA95,0, 'Apoio Regulação de Polinização'!S38*2.7183^(-'Regulação de polinização'!I$98/$AA95))</f>
        <v>#NUM!</v>
      </c>
      <c r="T95" s="1170" t="e">
        <f>IF('Regulação de polinização'!J$98&gt;$AA95,0, 'Apoio Regulação de Polinização'!T38*2.7183^(-'Regulação de polinização'!J$98/$AA95))</f>
        <v>#NUM!</v>
      </c>
      <c r="U95" s="1170" t="e">
        <f>IF('Regulação de polinização'!K$98&gt;$AA95,0, 'Apoio Regulação de Polinização'!U38*2.7183^(-'Regulação de polinização'!K$98/$AA95))</f>
        <v>#NUM!</v>
      </c>
      <c r="V95" s="1170" t="e">
        <f>IF('Regulação de polinização'!L$98&gt;$AA95,0, 'Apoio Regulação de Polinização'!V38*2.7183^(-'Regulação de polinização'!L$98/$AA95))</f>
        <v>#NUM!</v>
      </c>
      <c r="W95" s="1170" t="e">
        <f>IF('Regulação de polinização'!M$98&gt;$AA95,0, 'Apoio Regulação de Polinização'!W38*2.7183^(-'Regulação de polinização'!M$98/$AA95))</f>
        <v>#NUM!</v>
      </c>
      <c r="X95" s="1170" t="e">
        <f>IF('Regulação de polinização'!N$98&gt;$AA95,0, 'Apoio Regulação de Polinização'!X38*2.7183^(-'Regulação de polinização'!N$98/$AA95))</f>
        <v>#NUM!</v>
      </c>
      <c r="Y95" s="1170" t="e">
        <f>IF('Regulação de polinização'!O$98&gt;$AA95,0, 'Apoio Regulação de Polinização'!Y38*2.7183^(-'Regulação de polinização'!O$98/$AA95))</f>
        <v>#NUM!</v>
      </c>
      <c r="Z95" s="1170" t="e">
        <f>IF('Regulação de polinização'!P$98&gt;$AA95,0, 'Apoio Regulação de Polinização'!Z38*2.7183^(-'Regulação de polinização'!P$98/$AA95))</f>
        <v>#NUM!</v>
      </c>
      <c r="AA95" s="1179" t="e">
        <f>'Apoio Regulação de Polinização'!AA38</f>
        <v>#NUM!</v>
      </c>
    </row>
    <row r="96" spans="1:27" x14ac:dyDescent="0.25">
      <c r="B96" s="1881"/>
      <c r="C96" s="1881"/>
      <c r="D96" s="1879"/>
      <c r="E96" s="1896"/>
      <c r="F96" s="1896"/>
      <c r="G96" s="1896"/>
      <c r="H96" s="1896"/>
      <c r="I96" s="1896"/>
      <c r="J96" s="1879"/>
      <c r="K96" s="1881"/>
      <c r="N96" s="1169">
        <f>'Apoio Regulação de Polinização'!N39</f>
        <v>0</v>
      </c>
      <c r="O96" s="1170" t="e">
        <f>IF('Regulação de polinização'!E$98&gt;$AA96,0, 'Apoio Regulação de Polinização'!O39*2.7183^(-'Regulação de polinização'!E$98/$AA96))</f>
        <v>#NUM!</v>
      </c>
      <c r="P96" s="1170" t="e">
        <f>IF('Regulação de polinização'!F$98&gt;$AA96,0, 'Apoio Regulação de Polinização'!P39*2.7183^(-'Regulação de polinização'!F$98/$AA96))</f>
        <v>#NUM!</v>
      </c>
      <c r="Q96" s="1170" t="e">
        <f>IF('Regulação de polinização'!G$98&gt;$AA96,0, 'Apoio Regulação de Polinização'!Q39*2.7183^(-'Regulação de polinização'!G$98/$AA96))</f>
        <v>#NUM!</v>
      </c>
      <c r="R96" s="1170" t="e">
        <f>IF('Regulação de polinização'!H$98&gt;$AA96,0, 'Apoio Regulação de Polinização'!R39*2.7183^(-'Regulação de polinização'!H$98/$AA96))</f>
        <v>#NUM!</v>
      </c>
      <c r="S96" s="1170" t="e">
        <f>IF('Regulação de polinização'!I$98&gt;$AA96,0, 'Apoio Regulação de Polinização'!S39*2.7183^(-'Regulação de polinização'!I$98/$AA96))</f>
        <v>#NUM!</v>
      </c>
      <c r="T96" s="1170" t="e">
        <f>IF('Regulação de polinização'!J$98&gt;$AA96,0, 'Apoio Regulação de Polinização'!T39*2.7183^(-'Regulação de polinização'!J$98/$AA96))</f>
        <v>#NUM!</v>
      </c>
      <c r="U96" s="1170" t="e">
        <f>IF('Regulação de polinização'!K$98&gt;$AA96,0, 'Apoio Regulação de Polinização'!U39*2.7183^(-'Regulação de polinização'!K$98/$AA96))</f>
        <v>#NUM!</v>
      </c>
      <c r="V96" s="1170" t="e">
        <f>IF('Regulação de polinização'!L$98&gt;$AA96,0, 'Apoio Regulação de Polinização'!V39*2.7183^(-'Regulação de polinização'!L$98/$AA96))</f>
        <v>#NUM!</v>
      </c>
      <c r="W96" s="1170" t="e">
        <f>IF('Regulação de polinização'!M$98&gt;$AA96,0, 'Apoio Regulação de Polinização'!W39*2.7183^(-'Regulação de polinização'!M$98/$AA96))</f>
        <v>#NUM!</v>
      </c>
      <c r="X96" s="1170" t="e">
        <f>IF('Regulação de polinização'!N$98&gt;$AA96,0, 'Apoio Regulação de Polinização'!X39*2.7183^(-'Regulação de polinização'!N$98/$AA96))</f>
        <v>#NUM!</v>
      </c>
      <c r="Y96" s="1170" t="e">
        <f>IF('Regulação de polinização'!O$98&gt;$AA96,0, 'Apoio Regulação de Polinização'!Y39*2.7183^(-'Regulação de polinização'!O$98/$AA96))</f>
        <v>#NUM!</v>
      </c>
      <c r="Z96" s="1170" t="e">
        <f>IF('Regulação de polinização'!P$98&gt;$AA96,0, 'Apoio Regulação de Polinização'!Z39*2.7183^(-'Regulação de polinização'!P$98/$AA96))</f>
        <v>#NUM!</v>
      </c>
      <c r="AA96" s="1179" t="e">
        <f>'Apoio Regulação de Polinização'!AA39</f>
        <v>#NUM!</v>
      </c>
    </row>
    <row r="97" spans="2:30" x14ac:dyDescent="0.25">
      <c r="B97" s="1880" t="s">
        <v>746</v>
      </c>
      <c r="C97" s="1880" t="s">
        <v>749</v>
      </c>
      <c r="D97" s="1877" t="s">
        <v>751</v>
      </c>
      <c r="E97" s="1895" t="s">
        <v>1559</v>
      </c>
      <c r="F97" s="1895"/>
      <c r="G97" s="1895"/>
      <c r="H97" s="1895"/>
      <c r="I97" s="1895"/>
      <c r="J97" s="1877" t="s">
        <v>730</v>
      </c>
      <c r="K97" s="1880">
        <v>0.53</v>
      </c>
      <c r="N97" s="1169">
        <f>'Apoio Regulação de Polinização'!N40</f>
        <v>0</v>
      </c>
      <c r="O97" s="1170" t="e">
        <f>IF('Regulação de polinização'!E$98&gt;$AA97,0, 'Apoio Regulação de Polinização'!O40*2.7183^(-'Regulação de polinização'!E$98/$AA97))</f>
        <v>#NUM!</v>
      </c>
      <c r="P97" s="1170" t="e">
        <f>IF('Regulação de polinização'!F$98&gt;$AA97,0, 'Apoio Regulação de Polinização'!P40*2.7183^(-'Regulação de polinização'!F$98/$AA97))</f>
        <v>#NUM!</v>
      </c>
      <c r="Q97" s="1170" t="e">
        <f>IF('Regulação de polinização'!G$98&gt;$AA97,0, 'Apoio Regulação de Polinização'!Q40*2.7183^(-'Regulação de polinização'!G$98/$AA97))</f>
        <v>#NUM!</v>
      </c>
      <c r="R97" s="1170" t="e">
        <f>IF('Regulação de polinização'!H$98&gt;$AA97,0, 'Apoio Regulação de Polinização'!R40*2.7183^(-'Regulação de polinização'!H$98/$AA97))</f>
        <v>#NUM!</v>
      </c>
      <c r="S97" s="1170" t="e">
        <f>IF('Regulação de polinização'!I$98&gt;$AA97,0, 'Apoio Regulação de Polinização'!S40*2.7183^(-'Regulação de polinização'!I$98/$AA97))</f>
        <v>#NUM!</v>
      </c>
      <c r="T97" s="1170" t="e">
        <f>IF('Regulação de polinização'!J$98&gt;$AA97,0, 'Apoio Regulação de Polinização'!T40*2.7183^(-'Regulação de polinização'!J$98/$AA97))</f>
        <v>#NUM!</v>
      </c>
      <c r="U97" s="1170" t="e">
        <f>IF('Regulação de polinização'!K$98&gt;$AA97,0, 'Apoio Regulação de Polinização'!U40*2.7183^(-'Regulação de polinização'!K$98/$AA97))</f>
        <v>#NUM!</v>
      </c>
      <c r="V97" s="1170" t="e">
        <f>IF('Regulação de polinização'!L$98&gt;$AA97,0, 'Apoio Regulação de Polinização'!V40*2.7183^(-'Regulação de polinização'!L$98/$AA97))</f>
        <v>#NUM!</v>
      </c>
      <c r="W97" s="1170" t="e">
        <f>IF('Regulação de polinização'!M$98&gt;$AA97,0, 'Apoio Regulação de Polinização'!W40*2.7183^(-'Regulação de polinização'!M$98/$AA97))</f>
        <v>#NUM!</v>
      </c>
      <c r="X97" s="1170" t="e">
        <f>IF('Regulação de polinização'!N$98&gt;$AA97,0, 'Apoio Regulação de Polinização'!X40*2.7183^(-'Regulação de polinização'!N$98/$AA97))</f>
        <v>#NUM!</v>
      </c>
      <c r="Y97" s="1170" t="e">
        <f>IF('Regulação de polinização'!O$98&gt;$AA97,0, 'Apoio Regulação de Polinização'!Y40*2.7183^(-'Regulação de polinização'!O$98/$AA97))</f>
        <v>#NUM!</v>
      </c>
      <c r="Z97" s="1170" t="e">
        <f>IF('Regulação de polinização'!P$98&gt;$AA97,0, 'Apoio Regulação de Polinização'!Z40*2.7183^(-'Regulação de polinização'!P$98/$AA97))</f>
        <v>#NUM!</v>
      </c>
      <c r="AA97" s="1179" t="e">
        <f>'Apoio Regulação de Polinização'!AA40</f>
        <v>#NUM!</v>
      </c>
    </row>
    <row r="98" spans="2:30" x14ac:dyDescent="0.25">
      <c r="B98" s="1820"/>
      <c r="C98" s="1820"/>
      <c r="D98" s="1878"/>
      <c r="E98" s="1826"/>
      <c r="F98" s="1826"/>
      <c r="G98" s="1826"/>
      <c r="H98" s="1826"/>
      <c r="I98" s="1826"/>
      <c r="J98" s="1878"/>
      <c r="K98" s="1820"/>
      <c r="N98" s="1169">
        <f>'Apoio Regulação de Polinização'!N41</f>
        <v>0</v>
      </c>
      <c r="O98" s="1170" t="e">
        <f>IF('Regulação de polinização'!E$98&gt;$AA98,0, 'Apoio Regulação de Polinização'!O41*2.7183^(-'Regulação de polinização'!E$98/$AA98))</f>
        <v>#NUM!</v>
      </c>
      <c r="P98" s="1170" t="e">
        <f>IF('Regulação de polinização'!F$98&gt;$AA98,0, 'Apoio Regulação de Polinização'!P41*2.7183^(-'Regulação de polinização'!F$98/$AA98))</f>
        <v>#NUM!</v>
      </c>
      <c r="Q98" s="1170" t="e">
        <f>IF('Regulação de polinização'!G$98&gt;$AA98,0, 'Apoio Regulação de Polinização'!Q41*2.7183^(-'Regulação de polinização'!G$98/$AA98))</f>
        <v>#NUM!</v>
      </c>
      <c r="R98" s="1170" t="e">
        <f>IF('Regulação de polinização'!H$98&gt;$AA98,0, 'Apoio Regulação de Polinização'!R41*2.7183^(-'Regulação de polinização'!H$98/$AA98))</f>
        <v>#NUM!</v>
      </c>
      <c r="S98" s="1170" t="e">
        <f>IF('Regulação de polinização'!I$98&gt;$AA98,0, 'Apoio Regulação de Polinização'!S41*2.7183^(-'Regulação de polinização'!I$98/$AA98))</f>
        <v>#NUM!</v>
      </c>
      <c r="T98" s="1170" t="e">
        <f>IF('Regulação de polinização'!J$98&gt;$AA98,0, 'Apoio Regulação de Polinização'!T41*2.7183^(-'Regulação de polinização'!J$98/$AA98))</f>
        <v>#NUM!</v>
      </c>
      <c r="U98" s="1170" t="e">
        <f>IF('Regulação de polinização'!K$98&gt;$AA98,0, 'Apoio Regulação de Polinização'!U41*2.7183^(-'Regulação de polinização'!K$98/$AA98))</f>
        <v>#NUM!</v>
      </c>
      <c r="V98" s="1170" t="e">
        <f>IF('Regulação de polinização'!L$98&gt;$AA98,0, 'Apoio Regulação de Polinização'!V41*2.7183^(-'Regulação de polinização'!L$98/$AA98))</f>
        <v>#NUM!</v>
      </c>
      <c r="W98" s="1170" t="e">
        <f>IF('Regulação de polinização'!M$98&gt;$AA98,0, 'Apoio Regulação de Polinização'!W41*2.7183^(-'Regulação de polinização'!M$98/$AA98))</f>
        <v>#NUM!</v>
      </c>
      <c r="X98" s="1170" t="e">
        <f>IF('Regulação de polinização'!N$98&gt;$AA98,0, 'Apoio Regulação de Polinização'!X41*2.7183^(-'Regulação de polinização'!N$98/$AA98))</f>
        <v>#NUM!</v>
      </c>
      <c r="Y98" s="1170" t="e">
        <f>IF('Regulação de polinização'!O$98&gt;$AA98,0, 'Apoio Regulação de Polinização'!Y41*2.7183^(-'Regulação de polinização'!O$98/$AA98))</f>
        <v>#NUM!</v>
      </c>
      <c r="Z98" s="1170" t="e">
        <f>IF('Regulação de polinização'!P$98&gt;$AA98,0, 'Apoio Regulação de Polinização'!Z41*2.7183^(-'Regulação de polinização'!P$98/$AA98))</f>
        <v>#NUM!</v>
      </c>
      <c r="AA98" s="1179" t="e">
        <f>'Apoio Regulação de Polinização'!AA41</f>
        <v>#NUM!</v>
      </c>
    </row>
    <row r="99" spans="2:30" x14ac:dyDescent="0.25">
      <c r="B99" s="1820"/>
      <c r="C99" s="1820"/>
      <c r="D99" s="1878"/>
      <c r="E99" s="1826"/>
      <c r="F99" s="1826"/>
      <c r="G99" s="1826"/>
      <c r="H99" s="1826"/>
      <c r="I99" s="1826"/>
      <c r="J99" s="1878"/>
      <c r="K99" s="1820"/>
      <c r="N99" s="1169">
        <f>'Apoio Regulação de Polinização'!N42</f>
        <v>0</v>
      </c>
      <c r="O99" s="1170" t="e">
        <f>IF('Regulação de polinização'!E$98&gt;$AA99,0, 'Apoio Regulação de Polinização'!O42*2.7183^(-'Regulação de polinização'!E$98/$AA99))</f>
        <v>#NUM!</v>
      </c>
      <c r="P99" s="1170" t="e">
        <f>IF('Regulação de polinização'!F$98&gt;$AA99,0, 'Apoio Regulação de Polinização'!P42*2.7183^(-'Regulação de polinização'!F$98/$AA99))</f>
        <v>#NUM!</v>
      </c>
      <c r="Q99" s="1170" t="e">
        <f>IF('Regulação de polinização'!G$98&gt;$AA99,0, 'Apoio Regulação de Polinização'!Q42*2.7183^(-'Regulação de polinização'!G$98/$AA99))</f>
        <v>#NUM!</v>
      </c>
      <c r="R99" s="1170" t="e">
        <f>IF('Regulação de polinização'!H$98&gt;$AA99,0, 'Apoio Regulação de Polinização'!R42*2.7183^(-'Regulação de polinização'!H$98/$AA99))</f>
        <v>#NUM!</v>
      </c>
      <c r="S99" s="1170" t="e">
        <f>IF('Regulação de polinização'!I$98&gt;$AA99,0, 'Apoio Regulação de Polinização'!S42*2.7183^(-'Regulação de polinização'!I$98/$AA99))</f>
        <v>#NUM!</v>
      </c>
      <c r="T99" s="1170" t="e">
        <f>IF('Regulação de polinização'!J$98&gt;$AA99,0, 'Apoio Regulação de Polinização'!T42*2.7183^(-'Regulação de polinização'!J$98/$AA99))</f>
        <v>#NUM!</v>
      </c>
      <c r="U99" s="1170" t="e">
        <f>IF('Regulação de polinização'!K$98&gt;$AA99,0, 'Apoio Regulação de Polinização'!U42*2.7183^(-'Regulação de polinização'!K$98/$AA99))</f>
        <v>#NUM!</v>
      </c>
      <c r="V99" s="1170" t="e">
        <f>IF('Regulação de polinização'!L$98&gt;$AA99,0, 'Apoio Regulação de Polinização'!V42*2.7183^(-'Regulação de polinização'!L$98/$AA99))</f>
        <v>#NUM!</v>
      </c>
      <c r="W99" s="1170" t="e">
        <f>IF('Regulação de polinização'!M$98&gt;$AA99,0, 'Apoio Regulação de Polinização'!W42*2.7183^(-'Regulação de polinização'!M$98/$AA99))</f>
        <v>#NUM!</v>
      </c>
      <c r="X99" s="1170" t="e">
        <f>IF('Regulação de polinização'!N$98&gt;$AA99,0, 'Apoio Regulação de Polinização'!X42*2.7183^(-'Regulação de polinização'!N$98/$AA99))</f>
        <v>#NUM!</v>
      </c>
      <c r="Y99" s="1170" t="e">
        <f>IF('Regulação de polinização'!O$98&gt;$AA99,0, 'Apoio Regulação de Polinização'!Y42*2.7183^(-'Regulação de polinização'!O$98/$AA99))</f>
        <v>#NUM!</v>
      </c>
      <c r="Z99" s="1170" t="e">
        <f>IF('Regulação de polinização'!P$98&gt;$AA99,0, 'Apoio Regulação de Polinização'!Z42*2.7183^(-'Regulação de polinização'!P$98/$AA99))</f>
        <v>#NUM!</v>
      </c>
      <c r="AA99" s="1187" t="e">
        <f>'Apoio Regulação de Polinização'!AA42</f>
        <v>#NUM!</v>
      </c>
      <c r="AD99" s="1135"/>
    </row>
    <row r="100" spans="2:30" x14ac:dyDescent="0.25">
      <c r="B100" s="1820"/>
      <c r="C100" s="1820"/>
      <c r="D100" s="1878"/>
      <c r="E100" s="1826"/>
      <c r="F100" s="1826"/>
      <c r="G100" s="1826"/>
      <c r="H100" s="1826"/>
      <c r="I100" s="1826"/>
      <c r="J100" s="1878"/>
      <c r="K100" s="1820"/>
      <c r="N100" s="1184" t="s">
        <v>1496</v>
      </c>
      <c r="O100" s="1173">
        <f>TRUNC(SUMIF(O70:O99, "&gt;0"))*'Regulação de polinização'!E97</f>
        <v>0</v>
      </c>
      <c r="P100" s="1173">
        <f>TRUNC(SUMIF(P70:P99, "&gt;0"))*'Regulação de polinização'!F97</f>
        <v>0</v>
      </c>
      <c r="Q100" s="1173">
        <f>TRUNC(SUMIF(Q70:Q99, "&gt;0"))*'Regulação de polinização'!G97</f>
        <v>0</v>
      </c>
      <c r="R100" s="1173">
        <f>TRUNC(SUMIF(R70:R99, "&gt;0"))*'Regulação de polinização'!H97</f>
        <v>0</v>
      </c>
      <c r="S100" s="1173">
        <f>TRUNC(SUMIF(S70:S99, "&gt;0"))*'Regulação de polinização'!I97</f>
        <v>0</v>
      </c>
      <c r="T100" s="1173">
        <f>TRUNC(SUMIF(T70:T99, "&gt;0"))*'Regulação de polinização'!J97</f>
        <v>0</v>
      </c>
      <c r="U100" s="1173">
        <f>TRUNC(SUMIF(U70:U99, "&gt;0"))*'Regulação de polinização'!K97</f>
        <v>0</v>
      </c>
      <c r="V100" s="1173">
        <f>TRUNC(SUMIF(V70:V99, "&gt;0"))*'Regulação de polinização'!L97</f>
        <v>0</v>
      </c>
      <c r="W100" s="1173">
        <f>TRUNC(SUMIF(W70:W99, "&gt;0"))*'Regulação de polinização'!M97</f>
        <v>0</v>
      </c>
      <c r="X100" s="1173">
        <f>TRUNC(SUMIF(X70:X99, "&gt;0"))*'Regulação de polinização'!N97</f>
        <v>0</v>
      </c>
      <c r="Y100" s="1173">
        <f>TRUNC(SUMIF(Y70:Y99, "&gt;0"))*'Regulação de polinização'!O97</f>
        <v>0</v>
      </c>
      <c r="Z100" s="1173">
        <f>TRUNC(SUMIF(Z70:Z99, "&gt;0"))*'Regulação de polinização'!P97</f>
        <v>0</v>
      </c>
    </row>
    <row r="101" spans="2:30" x14ac:dyDescent="0.25">
      <c r="B101" s="1881"/>
      <c r="C101" s="1881"/>
      <c r="D101" s="1879"/>
      <c r="E101" s="1896"/>
      <c r="F101" s="1896"/>
      <c r="G101" s="1896"/>
      <c r="H101" s="1896"/>
      <c r="I101" s="1896"/>
      <c r="J101" s="1879"/>
      <c r="K101" s="1881"/>
    </row>
    <row r="102" spans="2:30" ht="16.5" x14ac:dyDescent="0.25">
      <c r="B102" s="1880" t="s">
        <v>746</v>
      </c>
      <c r="C102" s="1880" t="s">
        <v>749</v>
      </c>
      <c r="D102" s="1880" t="s">
        <v>766</v>
      </c>
      <c r="E102" s="1893" t="s">
        <v>1561</v>
      </c>
      <c r="F102" s="1893"/>
      <c r="G102" s="1893"/>
      <c r="H102" s="1893"/>
      <c r="I102" s="1893"/>
      <c r="J102" s="1880" t="s">
        <v>731</v>
      </c>
      <c r="K102" s="1880">
        <v>0.35</v>
      </c>
      <c r="N102" s="1164" t="s">
        <v>1497</v>
      </c>
      <c r="O102" s="1889" t="e">
        <f>SUMIF(O100:Z100,"&gt;0")/'Regulação de polinização'!K81</f>
        <v>#DIV/0!</v>
      </c>
      <c r="P102" s="1890"/>
      <c r="S102" s="1136"/>
      <c r="T102" s="1136"/>
    </row>
    <row r="103" spans="2:30" x14ac:dyDescent="0.25">
      <c r="B103" s="1820"/>
      <c r="C103" s="1820"/>
      <c r="D103" s="1820"/>
      <c r="E103" s="1812"/>
      <c r="F103" s="1812"/>
      <c r="G103" s="1812"/>
      <c r="H103" s="1812"/>
      <c r="I103" s="1812"/>
      <c r="J103" s="1820"/>
      <c r="K103" s="1820"/>
      <c r="V103" s="1137"/>
    </row>
    <row r="104" spans="2:30" x14ac:dyDescent="0.25">
      <c r="B104" s="1881"/>
      <c r="C104" s="1881"/>
      <c r="D104" s="1881"/>
      <c r="E104" s="1894"/>
      <c r="F104" s="1894"/>
      <c r="G104" s="1894"/>
      <c r="H104" s="1894"/>
      <c r="I104" s="1894"/>
      <c r="J104" s="1881"/>
      <c r="K104" s="1881"/>
      <c r="N104" s="1164" t="s">
        <v>999</v>
      </c>
      <c r="O104" s="1887" t="e">
        <f>-('Regulação de polinização'!K82*O111)/O109^2</f>
        <v>#N/A</v>
      </c>
      <c r="P104" s="1888"/>
      <c r="Q104" s="1130"/>
      <c r="R104" s="1882"/>
      <c r="S104" s="1883"/>
      <c r="U104" s="1138"/>
    </row>
    <row r="105" spans="2:30" ht="15" customHeight="1" x14ac:dyDescent="0.25">
      <c r="B105" s="1207"/>
      <c r="C105" s="1207"/>
      <c r="D105" s="1880" t="s">
        <v>655</v>
      </c>
      <c r="E105" s="1912" t="s">
        <v>1562</v>
      </c>
      <c r="F105" s="1912"/>
      <c r="G105" s="1912"/>
      <c r="H105" s="1912"/>
      <c r="I105" s="1912"/>
      <c r="J105" s="1880" t="s">
        <v>655</v>
      </c>
      <c r="K105" s="1917">
        <v>0.8</v>
      </c>
      <c r="N105" s="1164" t="s">
        <v>1000</v>
      </c>
      <c r="O105" s="1887" t="e">
        <f>2*'Regulação de polinização'!K82*'Apoio Regulação de Polinização'!O111/'Apoio Regulação de Polinização'!O109</f>
        <v>#N/A</v>
      </c>
      <c r="P105" s="1888"/>
      <c r="Q105" s="1130"/>
      <c r="R105" s="1883"/>
      <c r="S105" s="1884"/>
    </row>
    <row r="106" spans="2:30" ht="16.5" x14ac:dyDescent="0.25">
      <c r="B106" s="1204"/>
      <c r="C106" s="1204"/>
      <c r="D106" s="1820"/>
      <c r="E106" s="1913"/>
      <c r="F106" s="1913"/>
      <c r="G106" s="1913"/>
      <c r="H106" s="1913"/>
      <c r="I106" s="1913"/>
      <c r="J106" s="1820"/>
      <c r="K106" s="1918"/>
      <c r="N106" s="1164" t="s">
        <v>1498</v>
      </c>
      <c r="O106" s="1904" t="e">
        <f>'Regulação de polinização'!K82*(1-'Apoio Regulação de Polinização'!O111)+$O$104*O102^2+$O$105*O102</f>
        <v>#N/A</v>
      </c>
      <c r="P106" s="1905"/>
      <c r="Q106" s="1130"/>
      <c r="V106" s="1139"/>
    </row>
    <row r="107" spans="2:30" ht="16.5" x14ac:dyDescent="0.25">
      <c r="B107" s="1204"/>
      <c r="C107" s="1204"/>
      <c r="D107" s="1820"/>
      <c r="E107" s="1913"/>
      <c r="F107" s="1913"/>
      <c r="G107" s="1913"/>
      <c r="H107" s="1913"/>
      <c r="I107" s="1913"/>
      <c r="J107" s="1820"/>
      <c r="K107" s="1918"/>
      <c r="N107" s="1164" t="s">
        <v>1499</v>
      </c>
      <c r="O107" s="1907" t="e">
        <f>IF(O102&lt;O109,O106,IF(O106&gt;0.9*'Regulação de polinização'!K82,O106,0.9*'Regulação de polinização'!K82))</f>
        <v>#DIV/0!</v>
      </c>
      <c r="P107" s="1908"/>
      <c r="Q107" s="1130"/>
    </row>
    <row r="108" spans="2:30" x14ac:dyDescent="0.25">
      <c r="B108" s="1204"/>
      <c r="C108" s="1204"/>
      <c r="D108" s="1820"/>
      <c r="E108" s="1913"/>
      <c r="F108" s="1913"/>
      <c r="G108" s="1913"/>
      <c r="H108" s="1913"/>
      <c r="I108" s="1913"/>
      <c r="J108" s="1820"/>
      <c r="K108" s="1918"/>
    </row>
    <row r="109" spans="2:30" ht="24" customHeight="1" x14ac:dyDescent="0.3">
      <c r="B109" s="1205"/>
      <c r="C109" s="1205"/>
      <c r="D109" s="1881"/>
      <c r="E109" s="1914"/>
      <c r="F109" s="1914"/>
      <c r="G109" s="1914"/>
      <c r="H109" s="1914"/>
      <c r="I109" s="1914"/>
      <c r="J109" s="1881"/>
      <c r="K109" s="1919"/>
      <c r="N109" s="1167" t="s">
        <v>1500</v>
      </c>
      <c r="O109" s="1909" t="e">
        <f>IF('Regulação de polinização'!K85&gt;0,'Regulação de polinização'!K85,VLOOKUP('Regulação de polinização'!K79,B5:G59,6,FALSE))</f>
        <v>#N/A</v>
      </c>
      <c r="P109" s="1910"/>
      <c r="Q109" s="1130"/>
    </row>
    <row r="110" spans="2:30" ht="30.75" customHeight="1" x14ac:dyDescent="0.25">
      <c r="B110" s="1193" t="s">
        <v>746</v>
      </c>
      <c r="C110" s="1193" t="s">
        <v>768</v>
      </c>
      <c r="D110" s="1193" t="s">
        <v>769</v>
      </c>
      <c r="E110" s="1911" t="s">
        <v>1563</v>
      </c>
      <c r="F110" s="1911"/>
      <c r="G110" s="1911"/>
      <c r="H110" s="1911"/>
      <c r="I110" s="1911"/>
      <c r="J110" s="1198" t="s">
        <v>732</v>
      </c>
      <c r="K110" s="1193">
        <v>0.61</v>
      </c>
      <c r="Q110" s="1130"/>
    </row>
    <row r="111" spans="2:30" ht="33" customHeight="1" x14ac:dyDescent="0.25">
      <c r="B111" s="1193" t="s">
        <v>746</v>
      </c>
      <c r="C111" s="1193" t="s">
        <v>770</v>
      </c>
      <c r="D111" s="1193" t="s">
        <v>1557</v>
      </c>
      <c r="E111" s="1891" t="s">
        <v>1564</v>
      </c>
      <c r="F111" s="1891"/>
      <c r="G111" s="1891"/>
      <c r="H111" s="1891"/>
      <c r="I111" s="1891"/>
      <c r="J111" s="1198" t="s">
        <v>1558</v>
      </c>
      <c r="K111" s="1194">
        <v>0.28999999999999998</v>
      </c>
      <c r="N111" s="1167" t="s">
        <v>1318</v>
      </c>
      <c r="O111" s="1920" t="e">
        <f>IF('Regulação de polinização'!$K$84&gt;0,'Regulação de polinização'!$K$84,IF('Regulação de polinização'!$K$87&gt;0,(('Regulação de polinização'!$K$87/'Regulação de polinização'!$K$82)-1)*100,VLOOKUP('Regulação de polinização'!K79,$B$5:$D$59,3,FALSE)))</f>
        <v>#N/A</v>
      </c>
      <c r="P111" s="1920"/>
    </row>
    <row r="112" spans="2:30" ht="75" x14ac:dyDescent="0.25">
      <c r="B112" s="1198" t="s">
        <v>746</v>
      </c>
      <c r="C112" s="1198" t="s">
        <v>771</v>
      </c>
      <c r="D112" s="1198" t="s">
        <v>1001</v>
      </c>
      <c r="E112" s="1892" t="s">
        <v>1565</v>
      </c>
      <c r="F112" s="1892"/>
      <c r="G112" s="1892"/>
      <c r="H112" s="1892"/>
      <c r="I112" s="1892"/>
      <c r="J112" s="1198" t="s">
        <v>734</v>
      </c>
      <c r="K112" s="1209">
        <v>0.38</v>
      </c>
      <c r="N112" s="1140"/>
      <c r="O112" s="1906"/>
      <c r="P112" s="1906"/>
    </row>
    <row r="113" spans="2:16" ht="30.75" customHeight="1" x14ac:dyDescent="0.25">
      <c r="B113" s="1198" t="s">
        <v>772</v>
      </c>
      <c r="C113" s="1198" t="s">
        <v>721</v>
      </c>
      <c r="D113" s="1198" t="s">
        <v>773</v>
      </c>
      <c r="E113" s="1892" t="s">
        <v>1566</v>
      </c>
      <c r="F113" s="1892"/>
      <c r="G113" s="1892"/>
      <c r="H113" s="1892"/>
      <c r="I113" s="1892"/>
      <c r="J113" s="1198" t="s">
        <v>735</v>
      </c>
      <c r="K113" s="1198">
        <v>0.46</v>
      </c>
      <c r="O113" s="1885"/>
      <c r="P113" s="1885"/>
    </row>
    <row r="114" spans="2:16" ht="30" customHeight="1" x14ac:dyDescent="0.25">
      <c r="B114" s="1198" t="s">
        <v>772</v>
      </c>
      <c r="C114" s="1198" t="s">
        <v>721</v>
      </c>
      <c r="D114" s="1198" t="s">
        <v>774</v>
      </c>
      <c r="E114" s="1892" t="s">
        <v>1567</v>
      </c>
      <c r="F114" s="1892"/>
      <c r="G114" s="1892"/>
      <c r="H114" s="1892"/>
      <c r="I114" s="1892"/>
      <c r="J114" s="1198" t="s">
        <v>736</v>
      </c>
      <c r="K114" s="1198">
        <v>0.37</v>
      </c>
    </row>
    <row r="115" spans="2:16" ht="30" customHeight="1" x14ac:dyDescent="0.25">
      <c r="B115" s="1198" t="s">
        <v>772</v>
      </c>
      <c r="C115" s="1198" t="s">
        <v>721</v>
      </c>
      <c r="D115" s="1198" t="s">
        <v>775</v>
      </c>
      <c r="E115" s="1892" t="s">
        <v>776</v>
      </c>
      <c r="F115" s="1892"/>
      <c r="G115" s="1892"/>
      <c r="H115" s="1892"/>
      <c r="I115" s="1892"/>
      <c r="J115" s="1198" t="s">
        <v>777</v>
      </c>
      <c r="K115" s="1198">
        <v>0.24</v>
      </c>
    </row>
    <row r="116" spans="2:16" s="937" customFormat="1" ht="29.25" customHeight="1" x14ac:dyDescent="0.25">
      <c r="B116" s="1198" t="s">
        <v>772</v>
      </c>
      <c r="C116" s="1198" t="s">
        <v>778</v>
      </c>
      <c r="D116" s="1198" t="s">
        <v>779</v>
      </c>
      <c r="E116" s="1892" t="s">
        <v>780</v>
      </c>
      <c r="F116" s="1892"/>
      <c r="G116" s="1892"/>
      <c r="H116" s="1892"/>
      <c r="I116" s="1892"/>
      <c r="J116" s="1198" t="s">
        <v>737</v>
      </c>
      <c r="K116" s="1198">
        <v>0.42</v>
      </c>
    </row>
    <row r="117" spans="2:16" ht="30" customHeight="1" x14ac:dyDescent="0.25">
      <c r="B117" s="1198" t="s">
        <v>781</v>
      </c>
      <c r="C117" s="1198" t="s">
        <v>782</v>
      </c>
      <c r="D117" s="1198" t="s">
        <v>782</v>
      </c>
      <c r="E117" s="1892" t="s">
        <v>783</v>
      </c>
      <c r="F117" s="1892"/>
      <c r="G117" s="1892"/>
      <c r="H117" s="1892"/>
      <c r="I117" s="1892"/>
      <c r="J117" s="1198" t="s">
        <v>738</v>
      </c>
      <c r="K117" s="1198">
        <v>0.42</v>
      </c>
    </row>
    <row r="118" spans="2:16" ht="32.25" customHeight="1" x14ac:dyDescent="0.25">
      <c r="B118" s="1198" t="s">
        <v>781</v>
      </c>
      <c r="C118" s="1198" t="s">
        <v>784</v>
      </c>
      <c r="D118" s="1198" t="s">
        <v>784</v>
      </c>
      <c r="E118" s="1892" t="s">
        <v>785</v>
      </c>
      <c r="F118" s="1892"/>
      <c r="G118" s="1892"/>
      <c r="H118" s="1892"/>
      <c r="I118" s="1892"/>
      <c r="J118" s="1198" t="s">
        <v>786</v>
      </c>
      <c r="K118" s="1198">
        <v>0.25</v>
      </c>
    </row>
    <row r="119" spans="2:16" ht="28.5" customHeight="1" x14ac:dyDescent="0.25">
      <c r="B119" s="1198" t="s">
        <v>787</v>
      </c>
      <c r="C119" s="1198" t="s">
        <v>788</v>
      </c>
      <c r="D119" s="1198" t="s">
        <v>739</v>
      </c>
      <c r="E119" s="1915" t="s">
        <v>789</v>
      </c>
      <c r="F119" s="1915"/>
      <c r="G119" s="1915"/>
      <c r="H119" s="1915"/>
      <c r="I119" s="1915"/>
      <c r="J119" s="1198" t="s">
        <v>739</v>
      </c>
      <c r="K119" s="1198">
        <v>0.21</v>
      </c>
    </row>
    <row r="120" spans="2:16" ht="24.75" customHeight="1" x14ac:dyDescent="0.25">
      <c r="B120" s="1210" t="s">
        <v>787</v>
      </c>
      <c r="C120" s="1210" t="s">
        <v>790</v>
      </c>
      <c r="D120" s="1210" t="s">
        <v>791</v>
      </c>
      <c r="E120" s="1916" t="s">
        <v>792</v>
      </c>
      <c r="F120" s="1916"/>
      <c r="G120" s="1916"/>
      <c r="H120" s="1916"/>
      <c r="I120" s="1916"/>
      <c r="J120" s="1210" t="s">
        <v>740</v>
      </c>
      <c r="K120" s="1211">
        <v>0</v>
      </c>
    </row>
    <row r="121" spans="2:16" x14ac:dyDescent="0.25">
      <c r="B121" s="1141" t="s">
        <v>1002</v>
      </c>
      <c r="J121" s="1206"/>
    </row>
    <row r="122" spans="2:16" hidden="1" x14ac:dyDescent="0.25"/>
    <row r="123" spans="2:16" hidden="1" x14ac:dyDescent="0.25"/>
    <row r="124" spans="2:16" hidden="1" x14ac:dyDescent="0.25">
      <c r="B124" s="12" t="s">
        <v>1222</v>
      </c>
    </row>
    <row r="125" spans="2:16" hidden="1" x14ac:dyDescent="0.25">
      <c r="B125" s="12" t="s">
        <v>12</v>
      </c>
    </row>
    <row r="126" spans="2:16" hidden="1" x14ac:dyDescent="0.25">
      <c r="B126" s="12" t="s">
        <v>1223</v>
      </c>
    </row>
    <row r="127" spans="2:16" hidden="1" x14ac:dyDescent="0.25">
      <c r="B127" s="12" t="s">
        <v>2</v>
      </c>
    </row>
    <row r="128" spans="2:16" hidden="1" x14ac:dyDescent="0.25"/>
    <row r="129" spans="2:2" ht="15.75" hidden="1" thickBot="1" x14ac:dyDescent="0.3">
      <c r="B129" s="192" t="s">
        <v>728</v>
      </c>
    </row>
    <row r="130" spans="2:2" ht="15.75" hidden="1" thickTop="1" x14ac:dyDescent="0.25">
      <c r="B130" s="430" t="s">
        <v>729</v>
      </c>
    </row>
    <row r="131" spans="2:2" hidden="1" x14ac:dyDescent="0.25">
      <c r="B131" s="429" t="s">
        <v>748</v>
      </c>
    </row>
    <row r="132" spans="2:2" hidden="1" x14ac:dyDescent="0.25">
      <c r="B132" s="429" t="s">
        <v>730</v>
      </c>
    </row>
    <row r="133" spans="2:2" hidden="1" x14ac:dyDescent="0.25">
      <c r="B133" s="429" t="s">
        <v>731</v>
      </c>
    </row>
    <row r="134" spans="2:2" hidden="1" x14ac:dyDescent="0.25">
      <c r="B134" s="429" t="s">
        <v>655</v>
      </c>
    </row>
    <row r="135" spans="2:2" hidden="1" x14ac:dyDescent="0.25">
      <c r="B135" s="194" t="s">
        <v>732</v>
      </c>
    </row>
    <row r="136" spans="2:2" hidden="1" x14ac:dyDescent="0.25">
      <c r="B136" s="193" t="s">
        <v>733</v>
      </c>
    </row>
    <row r="137" spans="2:2" hidden="1" x14ac:dyDescent="0.25">
      <c r="B137" s="193" t="s">
        <v>734</v>
      </c>
    </row>
    <row r="138" spans="2:2" hidden="1" x14ac:dyDescent="0.25">
      <c r="B138" s="193" t="s">
        <v>735</v>
      </c>
    </row>
    <row r="139" spans="2:2" hidden="1" x14ac:dyDescent="0.25">
      <c r="B139" s="194" t="s">
        <v>736</v>
      </c>
    </row>
    <row r="140" spans="2:2" hidden="1" x14ac:dyDescent="0.25">
      <c r="B140" s="193" t="s">
        <v>777</v>
      </c>
    </row>
    <row r="141" spans="2:2" hidden="1" x14ac:dyDescent="0.25">
      <c r="B141" s="194" t="s">
        <v>737</v>
      </c>
    </row>
    <row r="142" spans="2:2" hidden="1" x14ac:dyDescent="0.25">
      <c r="B142" s="193" t="s">
        <v>738</v>
      </c>
    </row>
    <row r="143" spans="2:2" hidden="1" x14ac:dyDescent="0.25">
      <c r="B143" s="194" t="s">
        <v>786</v>
      </c>
    </row>
    <row r="144" spans="2:2" hidden="1" x14ac:dyDescent="0.25">
      <c r="B144" s="193" t="s">
        <v>739</v>
      </c>
    </row>
    <row r="145" spans="2:3" hidden="1" x14ac:dyDescent="0.25">
      <c r="B145" s="59" t="s">
        <v>740</v>
      </c>
    </row>
    <row r="146" spans="2:3" hidden="1" x14ac:dyDescent="0.25">
      <c r="C146" s="85"/>
    </row>
    <row r="147" spans="2:3" hidden="1" x14ac:dyDescent="0.25">
      <c r="C147" s="429"/>
    </row>
    <row r="148" spans="2:3" hidden="1" x14ac:dyDescent="0.25">
      <c r="C148" s="429"/>
    </row>
    <row r="149" spans="2:3" hidden="1" x14ac:dyDescent="0.25">
      <c r="C149" s="429"/>
    </row>
    <row r="150" spans="2:3" hidden="1" x14ac:dyDescent="0.25">
      <c r="C150" s="429"/>
    </row>
    <row r="151" spans="2:3" hidden="1" x14ac:dyDescent="0.25"/>
    <row r="152" spans="2:3" hidden="1" x14ac:dyDescent="0.25"/>
  </sheetData>
  <sheetProtection sheet="1" objects="1" scenarios="1" selectLockedCells="1" selectUnlockedCells="1"/>
  <mergeCells count="57">
    <mergeCell ref="D105:D109"/>
    <mergeCell ref="J105:J109"/>
    <mergeCell ref="K105:K109"/>
    <mergeCell ref="A1:M1"/>
    <mergeCell ref="O111:P111"/>
    <mergeCell ref="O104:P104"/>
    <mergeCell ref="B90:B92"/>
    <mergeCell ref="C90:C92"/>
    <mergeCell ref="D90:D92"/>
    <mergeCell ref="J90:J92"/>
    <mergeCell ref="K90:K92"/>
    <mergeCell ref="C93:C96"/>
    <mergeCell ref="D93:D96"/>
    <mergeCell ref="E93:I96"/>
    <mergeCell ref="J93:J96"/>
    <mergeCell ref="K93:K96"/>
    <mergeCell ref="E119:I119"/>
    <mergeCell ref="E120:I120"/>
    <mergeCell ref="E114:I114"/>
    <mergeCell ref="E115:I115"/>
    <mergeCell ref="E116:I116"/>
    <mergeCell ref="E117:I117"/>
    <mergeCell ref="E118:I118"/>
    <mergeCell ref="O106:P106"/>
    <mergeCell ref="E113:I113"/>
    <mergeCell ref="O112:P112"/>
    <mergeCell ref="O107:P107"/>
    <mergeCell ref="O109:P109"/>
    <mergeCell ref="E110:I110"/>
    <mergeCell ref="E105:I109"/>
    <mergeCell ref="AA8:AA11"/>
    <mergeCell ref="O12:Z12"/>
    <mergeCell ref="AA67:AA68"/>
    <mergeCell ref="O69:Z69"/>
    <mergeCell ref="E89:I89"/>
    <mergeCell ref="R104:S104"/>
    <mergeCell ref="R105:S105"/>
    <mergeCell ref="O113:P113"/>
    <mergeCell ref="B4:C4"/>
    <mergeCell ref="O105:P105"/>
    <mergeCell ref="O102:P102"/>
    <mergeCell ref="E111:I111"/>
    <mergeCell ref="E112:I112"/>
    <mergeCell ref="J102:J104"/>
    <mergeCell ref="K102:K104"/>
    <mergeCell ref="E102:I104"/>
    <mergeCell ref="E97:I101"/>
    <mergeCell ref="J97:J101"/>
    <mergeCell ref="K97:K101"/>
    <mergeCell ref="E90:I92"/>
    <mergeCell ref="D102:D104"/>
    <mergeCell ref="D97:D101"/>
    <mergeCell ref="C102:C104"/>
    <mergeCell ref="B102:B104"/>
    <mergeCell ref="B97:B101"/>
    <mergeCell ref="B93:B96"/>
    <mergeCell ref="C97:C101"/>
  </mergeCells>
  <conditionalFormatting sqref="O102">
    <cfRule type="expression" dxfId="6" priority="9">
      <formula>#REF!="LLI"</formula>
    </cfRule>
  </conditionalFormatting>
  <conditionalFormatting sqref="O102">
    <cfRule type="expression" dxfId="5" priority="8">
      <formula>#REF!="LLI"</formula>
    </cfRule>
  </conditionalFormatting>
  <conditionalFormatting sqref="O107">
    <cfRule type="expression" dxfId="4" priority="7">
      <formula>#REF!="LLI"</formula>
    </cfRule>
  </conditionalFormatting>
  <conditionalFormatting sqref="O43:Z43">
    <cfRule type="expression" dxfId="3" priority="5">
      <formula>#REF!="LLI"</formula>
    </cfRule>
  </conditionalFormatting>
  <conditionalFormatting sqref="P11:R11">
    <cfRule type="containsErrors" dxfId="2" priority="4">
      <formula>ISERROR(P11)</formula>
    </cfRule>
  </conditionalFormatting>
  <conditionalFormatting sqref="O104">
    <cfRule type="expression" dxfId="1" priority="2">
      <formula>#REF!="LLI"</formula>
    </cfRule>
  </conditionalFormatting>
  <conditionalFormatting sqref="O105">
    <cfRule type="expression" dxfId="0" priority="1">
      <formula>#REF!="LLI"</formula>
    </cfRule>
  </conditionalFormatting>
  <hyperlinks>
    <hyperlink ref="AD39" location="_ftn1" display="_ftn1"/>
    <hyperlink ref="AD63" location="_ftn3" display="_ftn3"/>
    <hyperlink ref="AD27" location="_ftn4" display="_ftn4"/>
    <hyperlink ref="AD33" location="_ftn5" display="_ftn5"/>
    <hyperlink ref="AD43" location="_ftn6" display="_ftn6"/>
    <hyperlink ref="AD45" location="_ftn7" display="_ftn7"/>
    <hyperlink ref="AD34" location="_ftn1" display="_ftn1"/>
    <hyperlink ref="AD49" location="_ftn2" display="_ftn2"/>
    <hyperlink ref="AD59" location="_ftn3" display="_ftn3"/>
    <hyperlink ref="AD62" location="_ftn4" display="_ftn4"/>
    <hyperlink ref="AD31" location="_ftn1" display="_ftn1"/>
    <hyperlink ref="AD64" location="_ftn2" display="_ftn2"/>
  </hyperlinks>
  <pageMargins left="0.511811024" right="0.511811024" top="0.78740157499999996" bottom="0.78740157499999996" header="0.31496062000000002" footer="0.31496062000000002"/>
  <pageSetup paperSize="9" orientation="portrait" verticalDpi="300" r:id="rId1"/>
  <drawing r:id="rId2"/>
  <legacyDrawing r:id="rId3"/>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039"/>
  </sheetPr>
  <dimension ref="A1:AB147"/>
  <sheetViews>
    <sheetView showGridLines="0" zoomScaleNormal="100" workbookViewId="0"/>
  </sheetViews>
  <sheetFormatPr defaultRowHeight="15" outlineLevelRow="2" x14ac:dyDescent="0.25"/>
  <cols>
    <col min="1" max="1" width="2" style="2" customWidth="1"/>
    <col min="2" max="2" width="5.85546875" style="2" customWidth="1"/>
    <col min="3" max="3" width="13" style="2" customWidth="1"/>
    <col min="4" max="4" width="10.42578125" style="2" customWidth="1"/>
    <col min="5" max="5" width="11.140625" style="2" customWidth="1"/>
    <col min="6" max="7" width="10.85546875" style="2" customWidth="1"/>
    <col min="8" max="8" width="11.140625" style="2" customWidth="1"/>
    <col min="9" max="9" width="11" style="2" customWidth="1"/>
    <col min="10" max="10" width="12.5703125" style="2" customWidth="1"/>
    <col min="11" max="11" width="14.85546875" style="2" customWidth="1"/>
    <col min="12" max="12" width="11.7109375" style="2" customWidth="1"/>
    <col min="13" max="13" width="15.85546875" style="2" bestFit="1" customWidth="1"/>
    <col min="14" max="14" width="13.140625" style="2" customWidth="1"/>
    <col min="15" max="15" width="11.7109375" style="2" customWidth="1"/>
    <col min="16" max="16" width="12.5703125" style="2" customWidth="1"/>
    <col min="17" max="16384" width="9.140625" style="2"/>
  </cols>
  <sheetData>
    <row r="1" spans="1:19" ht="15.75" x14ac:dyDescent="0.25">
      <c r="B1" s="1923" t="s">
        <v>1348</v>
      </c>
      <c r="C1" s="1924"/>
      <c r="D1" s="1924"/>
      <c r="E1" s="1924"/>
      <c r="F1" s="1924"/>
      <c r="G1" s="1924"/>
      <c r="H1" s="1924"/>
      <c r="I1" s="1924"/>
      <c r="J1" s="1924"/>
      <c r="K1" s="1924"/>
      <c r="L1" s="1924"/>
      <c r="M1" s="1924"/>
      <c r="N1" s="1924"/>
      <c r="O1" s="1924"/>
      <c r="P1" s="1925"/>
      <c r="R1" s="607"/>
      <c r="S1" s="607"/>
    </row>
    <row r="2" spans="1:19" ht="15.75" x14ac:dyDescent="0.25">
      <c r="B2" s="679"/>
      <c r="C2" s="750"/>
      <c r="D2" s="392"/>
      <c r="E2" s="750"/>
      <c r="F2" s="750"/>
      <c r="G2" s="750"/>
      <c r="H2" s="750"/>
      <c r="I2" s="750"/>
      <c r="J2" s="750"/>
      <c r="K2" s="750"/>
      <c r="L2" s="750"/>
      <c r="M2" s="750"/>
      <c r="N2" s="750"/>
      <c r="O2" s="750"/>
      <c r="P2" s="4"/>
      <c r="R2" s="607"/>
      <c r="S2" s="607"/>
    </row>
    <row r="3" spans="1:19" x14ac:dyDescent="0.25">
      <c r="A3" s="750"/>
      <c r="B3" s="51"/>
      <c r="C3" s="1926" t="s">
        <v>1584</v>
      </c>
      <c r="D3" s="1926"/>
      <c r="E3" s="1926"/>
      <c r="F3" s="1926"/>
      <c r="G3" s="1926"/>
      <c r="H3" s="1926"/>
      <c r="I3" s="1926"/>
      <c r="J3" s="1926"/>
      <c r="K3" s="1926"/>
      <c r="L3" s="1926"/>
      <c r="M3" s="1926"/>
      <c r="N3" s="1926"/>
      <c r="O3" s="750"/>
      <c r="P3" s="4"/>
      <c r="R3" s="607"/>
      <c r="S3" s="607"/>
    </row>
    <row r="4" spans="1:19" x14ac:dyDescent="0.25">
      <c r="A4" s="750"/>
      <c r="B4" s="51"/>
      <c r="C4" s="1926"/>
      <c r="D4" s="1926"/>
      <c r="E4" s="1926"/>
      <c r="F4" s="1926"/>
      <c r="G4" s="1926"/>
      <c r="H4" s="1926"/>
      <c r="I4" s="1926"/>
      <c r="J4" s="1926"/>
      <c r="K4" s="1926"/>
      <c r="L4" s="1926"/>
      <c r="M4" s="1926"/>
      <c r="N4" s="1926"/>
      <c r="O4" s="750"/>
      <c r="P4" s="4"/>
      <c r="R4" s="607"/>
      <c r="S4" s="607"/>
    </row>
    <row r="5" spans="1:19" x14ac:dyDescent="0.25">
      <c r="A5" s="750"/>
      <c r="B5" s="51"/>
      <c r="C5" s="1926"/>
      <c r="D5" s="1926"/>
      <c r="E5" s="1926"/>
      <c r="F5" s="1926"/>
      <c r="G5" s="1926"/>
      <c r="H5" s="1926"/>
      <c r="I5" s="1926"/>
      <c r="J5" s="1926"/>
      <c r="K5" s="1926"/>
      <c r="L5" s="1926"/>
      <c r="M5" s="1926"/>
      <c r="N5" s="1926"/>
      <c r="O5" s="750"/>
      <c r="P5" s="4"/>
      <c r="R5" s="607"/>
      <c r="S5" s="607"/>
    </row>
    <row r="6" spans="1:19" ht="15.75" x14ac:dyDescent="0.25">
      <c r="A6" s="750"/>
      <c r="B6" s="51"/>
      <c r="C6" s="399" t="s">
        <v>1198</v>
      </c>
      <c r="D6" s="680"/>
      <c r="E6" s="680"/>
      <c r="F6" s="680"/>
      <c r="G6" s="680"/>
      <c r="H6" s="680"/>
      <c r="I6" s="680"/>
      <c r="J6" s="680"/>
      <c r="K6" s="680"/>
      <c r="L6" s="680"/>
      <c r="M6" s="680"/>
      <c r="N6" s="680"/>
      <c r="O6" s="750"/>
      <c r="P6" s="4"/>
      <c r="R6" s="607"/>
      <c r="S6" s="607"/>
    </row>
    <row r="7" spans="1:19" ht="48.75" hidden="1" customHeight="1" outlineLevel="1" x14ac:dyDescent="0.25">
      <c r="A7" s="750"/>
      <c r="B7" s="51"/>
      <c r="C7" s="1938" t="s">
        <v>1397</v>
      </c>
      <c r="D7" s="1938"/>
      <c r="E7" s="1938"/>
      <c r="F7" s="1938"/>
      <c r="G7" s="1938"/>
      <c r="H7" s="1938"/>
      <c r="I7" s="1938"/>
      <c r="J7" s="1938"/>
      <c r="K7" s="1938"/>
      <c r="L7" s="1938"/>
      <c r="M7" s="1938"/>
      <c r="N7" s="1938"/>
      <c r="O7" s="1938"/>
      <c r="P7" s="914"/>
      <c r="R7" s="607"/>
      <c r="S7" s="607"/>
    </row>
    <row r="8" spans="1:19" hidden="1" outlineLevel="1" x14ac:dyDescent="0.25">
      <c r="A8" s="750"/>
      <c r="B8" s="51"/>
      <c r="C8" s="913"/>
      <c r="D8" s="913"/>
      <c r="E8" s="913"/>
      <c r="F8" s="913"/>
      <c r="G8" s="913"/>
      <c r="H8" s="913"/>
      <c r="I8" s="913"/>
      <c r="J8" s="913"/>
      <c r="K8" s="913"/>
      <c r="L8" s="913"/>
      <c r="M8" s="913"/>
      <c r="N8" s="913"/>
      <c r="O8" s="913"/>
      <c r="P8" s="681"/>
      <c r="R8" s="607"/>
      <c r="S8" s="607"/>
    </row>
    <row r="9" spans="1:19" ht="15.75" hidden="1" outlineLevel="1" x14ac:dyDescent="0.25">
      <c r="A9" s="4"/>
      <c r="B9" s="1927" t="s">
        <v>495</v>
      </c>
      <c r="C9" s="1928"/>
      <c r="D9" s="1928"/>
      <c r="E9" s="1928"/>
      <c r="F9" s="1928"/>
      <c r="G9" s="1928"/>
      <c r="H9" s="1928"/>
      <c r="I9" s="1928"/>
      <c r="J9" s="1928"/>
      <c r="K9" s="1928"/>
      <c r="L9" s="1928"/>
      <c r="M9" s="1928"/>
      <c r="N9" s="1928"/>
      <c r="O9" s="1928"/>
      <c r="P9" s="1929"/>
      <c r="R9" s="607"/>
      <c r="S9" s="607"/>
    </row>
    <row r="10" spans="1:19" ht="16.5" hidden="1" outlineLevel="2" thickBot="1" x14ac:dyDescent="0.3">
      <c r="A10" s="750"/>
      <c r="B10" s="781"/>
      <c r="C10" s="756"/>
      <c r="D10" s="756"/>
      <c r="E10" s="756"/>
      <c r="F10" s="756"/>
      <c r="G10" s="756"/>
      <c r="H10" s="756"/>
      <c r="I10" s="756"/>
      <c r="J10" s="780"/>
      <c r="K10" s="756"/>
      <c r="L10" s="756"/>
      <c r="M10" s="756"/>
      <c r="N10" s="756"/>
      <c r="O10" s="756"/>
      <c r="P10" s="757"/>
      <c r="Q10" s="750"/>
      <c r="R10" s="682"/>
      <c r="S10" s="607"/>
    </row>
    <row r="11" spans="1:19" hidden="1" outlineLevel="2" x14ac:dyDescent="0.25">
      <c r="A11" s="750"/>
      <c r="B11" s="51"/>
      <c r="C11" s="750"/>
      <c r="D11" s="111" t="s">
        <v>534</v>
      </c>
      <c r="E11" s="184"/>
      <c r="F11" s="184"/>
      <c r="G11" s="184"/>
      <c r="H11" s="184"/>
      <c r="I11" s="683"/>
      <c r="J11" s="750"/>
      <c r="K11" s="1408" t="s">
        <v>504</v>
      </c>
      <c r="L11" s="1408" t="s">
        <v>30</v>
      </c>
      <c r="M11" s="1408" t="s">
        <v>1156</v>
      </c>
      <c r="N11" s="1467"/>
      <c r="O11" s="750"/>
      <c r="P11" s="4"/>
      <c r="R11" s="607"/>
      <c r="S11" s="607"/>
    </row>
    <row r="12" spans="1:19" ht="16.5" hidden="1" outlineLevel="2" x14ac:dyDescent="0.3">
      <c r="A12" s="750"/>
      <c r="B12" s="51"/>
      <c r="C12" s="750"/>
      <c r="D12" s="257" t="s">
        <v>1189</v>
      </c>
      <c r="E12" s="750"/>
      <c r="F12" s="750"/>
      <c r="G12" s="750"/>
      <c r="H12" s="750"/>
      <c r="I12" s="750"/>
      <c r="J12" s="750"/>
      <c r="K12" s="1468"/>
      <c r="L12" s="1477"/>
      <c r="M12" s="1936" t="s">
        <v>1460</v>
      </c>
      <c r="N12" s="1937"/>
      <c r="O12" s="750"/>
      <c r="P12" s="4"/>
      <c r="R12" s="607"/>
      <c r="S12" s="607"/>
    </row>
    <row r="13" spans="1:19" ht="15" hidden="1" customHeight="1" outlineLevel="2" x14ac:dyDescent="0.25">
      <c r="A13" s="750"/>
      <c r="B13" s="51"/>
      <c r="C13" s="750"/>
      <c r="D13" s="1934" t="s">
        <v>1376</v>
      </c>
      <c r="E13" s="1935"/>
      <c r="F13" s="1935"/>
      <c r="G13" s="1935"/>
      <c r="H13" s="1935"/>
      <c r="I13" s="1935"/>
      <c r="J13" s="1935"/>
      <c r="K13" s="999" t="str">
        <f>IFERROR(0.00984*(SQRT(K14^2+K15^2))^0.63*((K15/K14)*100)^1.18,"")</f>
        <v/>
      </c>
      <c r="L13" s="1379"/>
      <c r="M13" s="1379" t="s">
        <v>1403</v>
      </c>
      <c r="N13" s="1469"/>
      <c r="O13" s="747"/>
      <c r="P13" s="4"/>
      <c r="R13" s="607"/>
      <c r="S13" s="607"/>
    </row>
    <row r="14" spans="1:19" hidden="1" outlineLevel="2" x14ac:dyDescent="0.25">
      <c r="A14" s="750"/>
      <c r="B14" s="51"/>
      <c r="C14" s="750"/>
      <c r="D14" s="685"/>
      <c r="E14" s="391"/>
      <c r="F14" s="391"/>
      <c r="G14" s="391"/>
      <c r="H14" s="391"/>
      <c r="I14" s="391"/>
      <c r="J14" s="737" t="s">
        <v>1349</v>
      </c>
      <c r="K14" s="735"/>
      <c r="L14" s="1473" t="s">
        <v>1186</v>
      </c>
      <c r="M14" s="754"/>
      <c r="N14" s="755"/>
      <c r="O14" s="750"/>
      <c r="P14" s="4"/>
      <c r="R14" s="607"/>
      <c r="S14" s="607"/>
    </row>
    <row r="15" spans="1:19" hidden="1" outlineLevel="2" x14ac:dyDescent="0.25">
      <c r="A15" s="750"/>
      <c r="B15" s="51"/>
      <c r="C15" s="684"/>
      <c r="D15" s="750"/>
      <c r="E15" s="391"/>
      <c r="F15" s="391"/>
      <c r="G15" s="391"/>
      <c r="H15" s="391"/>
      <c r="I15" s="391"/>
      <c r="J15" s="737" t="s">
        <v>1350</v>
      </c>
      <c r="K15" s="754"/>
      <c r="L15" s="1473" t="s">
        <v>1186</v>
      </c>
      <c r="M15" s="754"/>
      <c r="N15" s="755"/>
      <c r="O15" s="750"/>
      <c r="P15" s="4"/>
      <c r="R15" s="607"/>
      <c r="S15" s="607"/>
    </row>
    <row r="16" spans="1:19" ht="16.5" hidden="1" outlineLevel="2" x14ac:dyDescent="0.3">
      <c r="A16" s="750"/>
      <c r="B16" s="51"/>
      <c r="C16" s="750"/>
      <c r="D16" s="688" t="s">
        <v>1400</v>
      </c>
      <c r="E16" s="16"/>
      <c r="F16" s="750"/>
      <c r="G16" s="16"/>
      <c r="H16" s="16"/>
      <c r="I16" s="16"/>
      <c r="J16" s="750"/>
      <c r="K16" s="1383"/>
      <c r="L16" s="1382"/>
      <c r="M16" s="1382"/>
      <c r="N16" s="1478"/>
      <c r="O16" s="750"/>
      <c r="P16" s="4"/>
      <c r="R16" s="607"/>
      <c r="S16" s="607"/>
    </row>
    <row r="17" spans="1:22" hidden="1" outlineLevel="2" x14ac:dyDescent="0.25">
      <c r="A17" s="750"/>
      <c r="B17" s="51"/>
      <c r="C17" s="750"/>
      <c r="D17" s="689"/>
      <c r="E17" s="750"/>
      <c r="F17" s="750"/>
      <c r="G17" s="750"/>
      <c r="H17" s="750"/>
      <c r="I17" s="750"/>
      <c r="J17" s="690" t="s">
        <v>1195</v>
      </c>
      <c r="K17" s="721"/>
      <c r="L17" s="1472" t="s">
        <v>1190</v>
      </c>
      <c r="M17" s="735"/>
      <c r="N17" s="790"/>
      <c r="O17" s="750"/>
      <c r="P17" s="4"/>
      <c r="R17" s="607"/>
      <c r="S17" s="607"/>
    </row>
    <row r="18" spans="1:22" hidden="1" outlineLevel="2" x14ac:dyDescent="0.25">
      <c r="A18" s="750"/>
      <c r="B18" s="51"/>
      <c r="C18" s="750"/>
      <c r="D18" s="686"/>
      <c r="E18" s="750"/>
      <c r="F18" s="750"/>
      <c r="G18" s="750"/>
      <c r="H18" s="750"/>
      <c r="I18" s="750"/>
      <c r="J18" s="690" t="s">
        <v>1192</v>
      </c>
      <c r="K18" s="518"/>
      <c r="L18" s="1473" t="s">
        <v>1190</v>
      </c>
      <c r="M18" s="1939" t="s">
        <v>1568</v>
      </c>
      <c r="N18" s="1940"/>
      <c r="O18" s="750"/>
      <c r="P18" s="4"/>
      <c r="R18" s="607"/>
      <c r="S18" s="607"/>
    </row>
    <row r="19" spans="1:22" hidden="1" outlineLevel="2" x14ac:dyDescent="0.25">
      <c r="A19" s="750"/>
      <c r="B19" s="51"/>
      <c r="C19" s="750"/>
      <c r="D19" s="686"/>
      <c r="E19" s="750"/>
      <c r="F19" s="16"/>
      <c r="G19" s="750"/>
      <c r="H19" s="750"/>
      <c r="I19" s="750"/>
      <c r="J19" s="690" t="s">
        <v>1193</v>
      </c>
      <c r="K19" s="518"/>
      <c r="L19" s="1472" t="s">
        <v>1190</v>
      </c>
      <c r="M19" s="1939" t="s">
        <v>1568</v>
      </c>
      <c r="N19" s="1940"/>
      <c r="O19" s="750"/>
      <c r="P19" s="4"/>
      <c r="R19" s="607"/>
      <c r="S19" s="607"/>
    </row>
    <row r="20" spans="1:22" hidden="1" outlineLevel="2" x14ac:dyDescent="0.25">
      <c r="A20" s="750"/>
      <c r="B20" s="51"/>
      <c r="C20" s="750"/>
      <c r="D20" s="686"/>
      <c r="E20" s="750"/>
      <c r="F20" s="750"/>
      <c r="G20" s="750"/>
      <c r="H20" s="750"/>
      <c r="I20" s="750"/>
      <c r="J20" s="690" t="s">
        <v>1194</v>
      </c>
      <c r="K20" s="518"/>
      <c r="L20" s="1473" t="s">
        <v>1190</v>
      </c>
      <c r="M20" s="754"/>
      <c r="N20" s="755"/>
      <c r="O20" s="750"/>
      <c r="P20" s="4"/>
      <c r="R20" s="607"/>
      <c r="S20" s="607"/>
    </row>
    <row r="21" spans="1:22" hidden="1" outlineLevel="2" x14ac:dyDescent="0.25">
      <c r="A21" s="750"/>
      <c r="B21" s="51"/>
      <c r="C21" s="750"/>
      <c r="D21" s="686"/>
      <c r="E21" s="750"/>
      <c r="F21" s="750"/>
      <c r="G21" s="750"/>
      <c r="H21" s="750"/>
      <c r="I21" s="750"/>
      <c r="J21" s="690" t="s">
        <v>1196</v>
      </c>
      <c r="K21" s="518"/>
      <c r="L21" s="1472" t="s">
        <v>1190</v>
      </c>
      <c r="M21" s="735"/>
      <c r="N21" s="790"/>
      <c r="O21" s="750"/>
      <c r="P21" s="4"/>
      <c r="R21" s="607"/>
      <c r="S21" s="607"/>
    </row>
    <row r="22" spans="1:22" hidden="1" outlineLevel="2" x14ac:dyDescent="0.25">
      <c r="A22" s="750"/>
      <c r="B22" s="51"/>
      <c r="C22" s="750"/>
      <c r="D22" s="691" t="s">
        <v>0</v>
      </c>
      <c r="E22" s="750"/>
      <c r="F22" s="750"/>
      <c r="G22" s="687"/>
      <c r="H22" s="687"/>
      <c r="I22" s="687"/>
      <c r="J22" s="687"/>
      <c r="K22" s="687"/>
      <c r="L22" s="750"/>
      <c r="M22" s="750"/>
      <c r="N22" s="684"/>
      <c r="O22" s="750"/>
      <c r="P22" s="4"/>
      <c r="R22" s="607"/>
      <c r="S22" s="607"/>
    </row>
    <row r="23" spans="1:22" hidden="1" outlineLevel="2" x14ac:dyDescent="0.25">
      <c r="A23" s="750"/>
      <c r="B23" s="51"/>
      <c r="C23" s="750"/>
      <c r="D23" s="832" t="s">
        <v>1398</v>
      </c>
      <c r="E23" s="750"/>
      <c r="F23" s="750"/>
      <c r="G23" s="687"/>
      <c r="H23" s="687"/>
      <c r="I23" s="687"/>
      <c r="J23" s="687"/>
      <c r="K23" s="687"/>
      <c r="L23" s="750"/>
      <c r="M23" s="750"/>
      <c r="N23" s="684"/>
      <c r="O23" s="750"/>
      <c r="P23" s="4"/>
      <c r="R23" s="750"/>
      <c r="S23" s="750"/>
    </row>
    <row r="24" spans="1:22" ht="16.5" hidden="1" outlineLevel="2" x14ac:dyDescent="0.3">
      <c r="A24" s="750"/>
      <c r="B24" s="51"/>
      <c r="C24" s="750"/>
      <c r="D24" s="685"/>
      <c r="E24" s="692" t="s">
        <v>999</v>
      </c>
      <c r="F24" s="693" t="s">
        <v>1351</v>
      </c>
      <c r="G24" s="693" t="s">
        <v>1352</v>
      </c>
      <c r="H24" s="693" t="s">
        <v>1353</v>
      </c>
      <c r="I24" s="693" t="s">
        <v>1354</v>
      </c>
      <c r="J24" s="723" t="s">
        <v>1371</v>
      </c>
      <c r="K24" s="694" t="s">
        <v>1355</v>
      </c>
      <c r="L24" s="722" t="s">
        <v>1370</v>
      </c>
      <c r="M24" s="732" t="s">
        <v>1356</v>
      </c>
      <c r="N24" s="684"/>
      <c r="O24" s="750"/>
      <c r="P24" s="4"/>
      <c r="R24" s="607"/>
      <c r="S24" s="607"/>
    </row>
    <row r="25" spans="1:22" hidden="1" outlineLevel="2" x14ac:dyDescent="0.25">
      <c r="A25" s="750"/>
      <c r="B25" s="51"/>
      <c r="C25" s="750"/>
      <c r="D25" s="685"/>
      <c r="E25" s="593">
        <v>1</v>
      </c>
      <c r="F25" s="704"/>
      <c r="G25" s="704"/>
      <c r="H25" s="704"/>
      <c r="I25" s="704"/>
      <c r="J25" s="704"/>
      <c r="K25" s="695">
        <f>F25*G25*H25*I25*J25</f>
        <v>0</v>
      </c>
      <c r="L25" s="704"/>
      <c r="M25" s="733">
        <f>F25*G25*H25*I25*L25</f>
        <v>0</v>
      </c>
      <c r="N25" s="684"/>
      <c r="O25" s="750"/>
      <c r="P25" s="4"/>
      <c r="R25" s="607"/>
      <c r="S25" s="607"/>
    </row>
    <row r="26" spans="1:22" hidden="1" outlineLevel="2" x14ac:dyDescent="0.25">
      <c r="A26" s="750"/>
      <c r="B26" s="51"/>
      <c r="C26" s="750"/>
      <c r="D26" s="685"/>
      <c r="E26" s="593">
        <v>2</v>
      </c>
      <c r="F26" s="704"/>
      <c r="G26" s="704"/>
      <c r="H26" s="704"/>
      <c r="I26" s="704"/>
      <c r="J26" s="704"/>
      <c r="K26" s="695">
        <f t="shared" ref="K26:K30" si="0">F26*G26*H26*I26*J26</f>
        <v>0</v>
      </c>
      <c r="L26" s="704"/>
      <c r="M26" s="733">
        <f>F26*G26*H26*I26*L26</f>
        <v>0</v>
      </c>
      <c r="N26" s="684"/>
      <c r="O26" s="750"/>
      <c r="P26" s="4"/>
      <c r="R26" s="607"/>
      <c r="S26" s="607"/>
    </row>
    <row r="27" spans="1:22" hidden="1" outlineLevel="2" x14ac:dyDescent="0.25">
      <c r="A27" s="750"/>
      <c r="B27" s="51"/>
      <c r="C27" s="750"/>
      <c r="D27" s="685"/>
      <c r="E27" s="593">
        <v>3</v>
      </c>
      <c r="F27" s="704"/>
      <c r="G27" s="704"/>
      <c r="H27" s="704"/>
      <c r="I27" s="704"/>
      <c r="J27" s="704"/>
      <c r="K27" s="695">
        <f t="shared" si="0"/>
        <v>0</v>
      </c>
      <c r="L27" s="704"/>
      <c r="M27" s="733">
        <f t="shared" ref="M27:M30" si="1">F27*G27*H27*I27*L27</f>
        <v>0</v>
      </c>
      <c r="N27" s="684"/>
      <c r="O27" s="697"/>
      <c r="P27" s="696"/>
      <c r="R27" s="697"/>
      <c r="S27" s="697"/>
      <c r="T27" s="697"/>
    </row>
    <row r="28" spans="1:22" hidden="1" outlineLevel="2" x14ac:dyDescent="0.25">
      <c r="A28" s="750"/>
      <c r="B28" s="51"/>
      <c r="C28" s="750"/>
      <c r="D28" s="685"/>
      <c r="E28" s="593">
        <v>4</v>
      </c>
      <c r="F28" s="704"/>
      <c r="G28" s="704"/>
      <c r="H28" s="704"/>
      <c r="I28" s="704"/>
      <c r="J28" s="704"/>
      <c r="K28" s="695">
        <f t="shared" si="0"/>
        <v>0</v>
      </c>
      <c r="L28" s="704"/>
      <c r="M28" s="733">
        <f t="shared" si="1"/>
        <v>0</v>
      </c>
      <c r="N28" s="684"/>
      <c r="O28" s="750"/>
      <c r="P28" s="4"/>
      <c r="R28" s="607"/>
      <c r="S28" s="607"/>
    </row>
    <row r="29" spans="1:22" hidden="1" outlineLevel="2" x14ac:dyDescent="0.25">
      <c r="A29" s="750"/>
      <c r="B29" s="51"/>
      <c r="C29" s="750"/>
      <c r="D29" s="685"/>
      <c r="E29" s="593">
        <v>5</v>
      </c>
      <c r="F29" s="704"/>
      <c r="G29" s="704"/>
      <c r="H29" s="704"/>
      <c r="I29" s="704"/>
      <c r="J29" s="704"/>
      <c r="K29" s="695">
        <f t="shared" si="0"/>
        <v>0</v>
      </c>
      <c r="L29" s="704"/>
      <c r="M29" s="733">
        <f t="shared" si="1"/>
        <v>0</v>
      </c>
      <c r="N29" s="684"/>
      <c r="O29" s="750"/>
      <c r="P29" s="4"/>
      <c r="R29" s="204"/>
      <c r="S29" s="204"/>
      <c r="T29" s="698"/>
      <c r="U29" s="698"/>
      <c r="V29" s="698"/>
    </row>
    <row r="30" spans="1:22" hidden="1" outlineLevel="2" x14ac:dyDescent="0.25">
      <c r="A30" s="750"/>
      <c r="B30" s="51"/>
      <c r="C30" s="750"/>
      <c r="D30" s="685"/>
      <c r="E30" s="593">
        <v>6</v>
      </c>
      <c r="F30" s="704"/>
      <c r="G30" s="704"/>
      <c r="H30" s="704"/>
      <c r="I30" s="704"/>
      <c r="J30" s="704"/>
      <c r="K30" s="695">
        <f t="shared" si="0"/>
        <v>0</v>
      </c>
      <c r="L30" s="704"/>
      <c r="M30" s="733">
        <f t="shared" si="1"/>
        <v>0</v>
      </c>
      <c r="N30" s="760"/>
      <c r="O30" s="750"/>
      <c r="P30" s="4"/>
      <c r="R30" s="204"/>
      <c r="S30" s="204"/>
      <c r="T30" s="698"/>
      <c r="U30" s="698"/>
      <c r="V30" s="698"/>
    </row>
    <row r="31" spans="1:22" s="19" customFormat="1" hidden="1" outlineLevel="2" x14ac:dyDescent="0.25">
      <c r="A31" s="752"/>
      <c r="B31" s="322"/>
      <c r="C31" s="752"/>
      <c r="D31" s="730"/>
      <c r="E31" s="412"/>
      <c r="F31" s="385"/>
      <c r="G31" s="385"/>
      <c r="H31" s="385"/>
      <c r="I31" s="385"/>
      <c r="J31" s="385"/>
      <c r="K31" s="761"/>
      <c r="L31" s="766"/>
      <c r="M31" s="761"/>
      <c r="N31" s="762"/>
      <c r="O31" s="752"/>
      <c r="P31" s="52"/>
      <c r="R31" s="200"/>
      <c r="S31" s="200"/>
      <c r="T31" s="763"/>
      <c r="U31" s="763"/>
      <c r="V31" s="763"/>
    </row>
    <row r="32" spans="1:22" ht="16.5" hidden="1" outlineLevel="2" x14ac:dyDescent="0.3">
      <c r="A32" s="750"/>
      <c r="B32" s="51"/>
      <c r="C32" s="750"/>
      <c r="D32" s="686" t="s">
        <v>1375</v>
      </c>
      <c r="E32" s="398"/>
      <c r="F32" s="398"/>
      <c r="G32" s="398"/>
      <c r="H32" s="398"/>
      <c r="I32" s="398"/>
      <c r="J32" s="398"/>
      <c r="K32" s="915" t="str">
        <f>IFERROR(SUM(M25:M26)/SUM(F25:F26),"")</f>
        <v/>
      </c>
      <c r="L32" s="1476" t="s">
        <v>1359</v>
      </c>
      <c r="M32" s="1932"/>
      <c r="N32" s="1933"/>
      <c r="O32" s="750"/>
      <c r="P32" s="4"/>
      <c r="R32" s="607"/>
      <c r="S32" s="607"/>
    </row>
    <row r="33" spans="1:19" ht="15" hidden="1" customHeight="1" outlineLevel="2" x14ac:dyDescent="0.3">
      <c r="A33" s="750"/>
      <c r="B33" s="51"/>
      <c r="C33" s="750"/>
      <c r="D33" s="736" t="s">
        <v>1374</v>
      </c>
      <c r="E33" s="391"/>
      <c r="F33" s="391"/>
      <c r="G33" s="391"/>
      <c r="H33" s="391"/>
      <c r="I33" s="391"/>
      <c r="J33" s="391"/>
      <c r="K33" s="916" t="str">
        <f>IFERROR(SUM(K25:K30)/SUM(F25:F30),"")</f>
        <v/>
      </c>
      <c r="L33" s="1466" t="s">
        <v>1359</v>
      </c>
      <c r="M33" s="1932"/>
      <c r="N33" s="1933"/>
      <c r="O33" s="750"/>
      <c r="P33" s="4"/>
      <c r="R33" s="607"/>
      <c r="S33" s="607"/>
    </row>
    <row r="34" spans="1:19" ht="16.5" hidden="1" outlineLevel="2" x14ac:dyDescent="0.25">
      <c r="A34" s="750"/>
      <c r="B34" s="51"/>
      <c r="C34" s="750"/>
      <c r="D34" s="714" t="s">
        <v>1372</v>
      </c>
      <c r="E34" s="254"/>
      <c r="F34" s="254"/>
      <c r="G34" s="750"/>
      <c r="H34" s="750"/>
      <c r="I34" s="750"/>
      <c r="J34" s="398"/>
      <c r="K34" s="917">
        <f>SUM(K35:K40)</f>
        <v>0</v>
      </c>
      <c r="L34" s="1474" t="s">
        <v>1200</v>
      </c>
      <c r="M34" s="735"/>
      <c r="N34" s="790"/>
      <c r="O34" s="750"/>
      <c r="P34" s="4"/>
      <c r="R34" s="607"/>
      <c r="S34" s="607"/>
    </row>
    <row r="35" spans="1:19" hidden="1" outlineLevel="2" x14ac:dyDescent="0.25">
      <c r="A35" s="750"/>
      <c r="B35" s="51"/>
      <c r="C35" s="750"/>
      <c r="D35" s="730"/>
      <c r="E35" s="750"/>
      <c r="F35" s="750"/>
      <c r="G35" s="750"/>
      <c r="H35" s="750"/>
      <c r="I35" s="750"/>
      <c r="J35" s="699" t="s">
        <v>1197</v>
      </c>
      <c r="K35" s="918"/>
      <c r="L35" s="1474" t="s">
        <v>1200</v>
      </c>
      <c r="M35" s="754"/>
      <c r="N35" s="755"/>
      <c r="O35" s="750"/>
      <c r="P35" s="4"/>
      <c r="R35" s="607"/>
      <c r="S35" s="607"/>
    </row>
    <row r="36" spans="1:19" hidden="1" outlineLevel="2" x14ac:dyDescent="0.25">
      <c r="A36" s="750"/>
      <c r="B36" s="51"/>
      <c r="C36" s="750"/>
      <c r="D36" s="730"/>
      <c r="E36" s="750"/>
      <c r="F36" s="750"/>
      <c r="G36" s="750"/>
      <c r="H36" s="750"/>
      <c r="I36" s="750"/>
      <c r="J36" s="699" t="s">
        <v>1195</v>
      </c>
      <c r="K36" s="919"/>
      <c r="L36" s="1474" t="s">
        <v>1200</v>
      </c>
      <c r="M36" s="754"/>
      <c r="N36" s="755"/>
      <c r="O36" s="750"/>
      <c r="P36" s="4"/>
      <c r="R36" s="607"/>
      <c r="S36" s="607"/>
    </row>
    <row r="37" spans="1:19" hidden="1" outlineLevel="2" x14ac:dyDescent="0.25">
      <c r="A37" s="750"/>
      <c r="B37" s="51"/>
      <c r="C37" s="750"/>
      <c r="D37" s="730"/>
      <c r="E37" s="750"/>
      <c r="F37" s="750"/>
      <c r="G37" s="750"/>
      <c r="H37" s="750"/>
      <c r="I37" s="750"/>
      <c r="J37" s="699" t="s">
        <v>1192</v>
      </c>
      <c r="K37" s="919"/>
      <c r="L37" s="1474" t="s">
        <v>1200</v>
      </c>
      <c r="M37" s="754"/>
      <c r="N37" s="755"/>
      <c r="O37" s="750"/>
      <c r="P37" s="4"/>
      <c r="R37" s="607"/>
      <c r="S37" s="607"/>
    </row>
    <row r="38" spans="1:19" hidden="1" outlineLevel="2" x14ac:dyDescent="0.25">
      <c r="A38" s="750"/>
      <c r="B38" s="51"/>
      <c r="C38" s="750"/>
      <c r="D38" s="730"/>
      <c r="E38" s="750"/>
      <c r="F38" s="750"/>
      <c r="G38" s="750"/>
      <c r="H38" s="750"/>
      <c r="I38" s="750"/>
      <c r="J38" s="699" t="s">
        <v>1193</v>
      </c>
      <c r="K38" s="919"/>
      <c r="L38" s="1474" t="s">
        <v>1200</v>
      </c>
      <c r="M38" s="754"/>
      <c r="N38" s="755"/>
      <c r="O38" s="750"/>
      <c r="P38" s="4"/>
      <c r="R38" s="607"/>
      <c r="S38" s="607"/>
    </row>
    <row r="39" spans="1:19" hidden="1" outlineLevel="2" x14ac:dyDescent="0.25">
      <c r="A39" s="750"/>
      <c r="B39" s="51"/>
      <c r="C39" s="750"/>
      <c r="D39" s="730"/>
      <c r="E39" s="750"/>
      <c r="F39" s="750"/>
      <c r="G39" s="750"/>
      <c r="H39" s="750"/>
      <c r="I39" s="750"/>
      <c r="J39" s="699" t="str">
        <f>J20</f>
        <v xml:space="preserve">Outro 1 (O1) </v>
      </c>
      <c r="K39" s="919"/>
      <c r="L39" s="1474" t="s">
        <v>1200</v>
      </c>
      <c r="M39" s="754"/>
      <c r="N39" s="755"/>
      <c r="O39" s="750"/>
      <c r="P39" s="4"/>
      <c r="R39" s="607"/>
      <c r="S39" s="607"/>
    </row>
    <row r="40" spans="1:19" hidden="1" outlineLevel="2" x14ac:dyDescent="0.25">
      <c r="A40" s="750"/>
      <c r="B40" s="51"/>
      <c r="C40" s="750"/>
      <c r="D40" s="685"/>
      <c r="E40" s="750"/>
      <c r="F40" s="750"/>
      <c r="G40" s="750"/>
      <c r="H40" s="750"/>
      <c r="I40" s="750"/>
      <c r="J40" s="699" t="str">
        <f>J21</f>
        <v>Outro 2 (O2)</v>
      </c>
      <c r="K40" s="919"/>
      <c r="L40" s="1474" t="s">
        <v>1200</v>
      </c>
      <c r="M40" s="754"/>
      <c r="N40" s="755"/>
      <c r="O40" s="750"/>
      <c r="P40" s="4"/>
      <c r="R40" s="607"/>
      <c r="S40" s="607"/>
    </row>
    <row r="41" spans="1:19" hidden="1" outlineLevel="2" x14ac:dyDescent="0.25">
      <c r="A41" s="750"/>
      <c r="B41" s="51"/>
      <c r="C41" s="750"/>
      <c r="D41" s="686" t="s">
        <v>1373</v>
      </c>
      <c r="E41" s="750"/>
      <c r="F41" s="750"/>
      <c r="G41" s="750"/>
      <c r="H41" s="750"/>
      <c r="I41" s="750"/>
      <c r="J41" s="398"/>
      <c r="K41" s="920"/>
      <c r="L41" s="1466" t="s">
        <v>13</v>
      </c>
      <c r="M41" s="754"/>
      <c r="N41" s="755"/>
      <c r="O41" s="750"/>
      <c r="P41" s="4"/>
      <c r="R41" s="607"/>
      <c r="S41" s="607"/>
    </row>
    <row r="42" spans="1:19" ht="15.75" hidden="1" outlineLevel="2" x14ac:dyDescent="0.25">
      <c r="A42" s="750"/>
      <c r="B42" s="51"/>
      <c r="C42" s="750"/>
      <c r="D42" s="738"/>
      <c r="E42" s="750"/>
      <c r="F42" s="750"/>
      <c r="G42" s="750"/>
      <c r="H42" s="750"/>
      <c r="I42" s="750"/>
      <c r="J42" s="398"/>
      <c r="K42" s="726"/>
      <c r="L42" s="16"/>
      <c r="M42" s="753"/>
      <c r="N42" s="739"/>
      <c r="O42" s="750"/>
      <c r="P42" s="4"/>
      <c r="R42" s="607"/>
      <c r="S42" s="607"/>
    </row>
    <row r="43" spans="1:19" hidden="1" outlineLevel="2" x14ac:dyDescent="0.25">
      <c r="A43" s="750"/>
      <c r="B43" s="51"/>
      <c r="C43" s="750"/>
      <c r="D43" s="691" t="s">
        <v>1</v>
      </c>
      <c r="E43" s="750"/>
      <c r="F43" s="750"/>
      <c r="G43" s="750"/>
      <c r="H43" s="750"/>
      <c r="I43" s="750"/>
      <c r="J43" s="750"/>
      <c r="K43" s="750"/>
      <c r="L43" s="750"/>
      <c r="M43" s="750"/>
      <c r="N43" s="684"/>
      <c r="O43" s="750"/>
      <c r="P43" s="4"/>
      <c r="R43" s="607"/>
      <c r="S43" s="607"/>
    </row>
    <row r="44" spans="1:19" hidden="1" outlineLevel="2" x14ac:dyDescent="0.25">
      <c r="A44" s="750"/>
      <c r="B44" s="51"/>
      <c r="C44" s="750"/>
      <c r="D44" s="832" t="s">
        <v>1386</v>
      </c>
      <c r="E44" s="750"/>
      <c r="F44" s="750"/>
      <c r="G44" s="750"/>
      <c r="H44" s="750"/>
      <c r="I44" s="750"/>
      <c r="J44" s="734"/>
      <c r="K44" s="750"/>
      <c r="L44" s="750"/>
      <c r="M44" s="750"/>
      <c r="N44" s="684"/>
      <c r="O44" s="750"/>
      <c r="P44" s="4"/>
      <c r="R44" s="750"/>
      <c r="S44" s="750"/>
    </row>
    <row r="45" spans="1:19" ht="18" hidden="1" outlineLevel="2" x14ac:dyDescent="0.35">
      <c r="A45" s="750"/>
      <c r="B45" s="51"/>
      <c r="C45" s="750"/>
      <c r="D45" s="685"/>
      <c r="E45" s="702" t="s">
        <v>999</v>
      </c>
      <c r="F45" s="692" t="s">
        <v>1351</v>
      </c>
      <c r="G45" s="692" t="s">
        <v>1352</v>
      </c>
      <c r="H45" s="692" t="s">
        <v>1353</v>
      </c>
      <c r="I45" s="692" t="s">
        <v>1354</v>
      </c>
      <c r="J45" s="765" t="s">
        <v>1371</v>
      </c>
      <c r="K45" s="593" t="s">
        <v>1355</v>
      </c>
      <c r="L45" s="702" t="s">
        <v>1357</v>
      </c>
      <c r="M45" s="740" t="s">
        <v>1358</v>
      </c>
      <c r="N45" s="684"/>
      <c r="O45" s="750"/>
      <c r="P45" s="4"/>
      <c r="R45" s="607"/>
      <c r="S45" s="607"/>
    </row>
    <row r="46" spans="1:19" hidden="1" outlineLevel="2" x14ac:dyDescent="0.25">
      <c r="A46" s="750"/>
      <c r="B46" s="51"/>
      <c r="C46" s="750"/>
      <c r="D46" s="685"/>
      <c r="E46" s="703">
        <v>1</v>
      </c>
      <c r="F46" s="674"/>
      <c r="G46" s="674"/>
      <c r="H46" s="674"/>
      <c r="I46" s="674"/>
      <c r="J46" s="704"/>
      <c r="K46" s="695">
        <f>F46*G46*H46*I46*J46</f>
        <v>0</v>
      </c>
      <c r="L46" s="674"/>
      <c r="M46" s="705">
        <f t="shared" ref="M46:M51" si="2">F46*G46*H46*I46*L46</f>
        <v>0</v>
      </c>
      <c r="N46" s="684"/>
      <c r="O46" s="750"/>
      <c r="P46" s="4"/>
      <c r="R46" s="607"/>
      <c r="S46" s="607"/>
    </row>
    <row r="47" spans="1:19" hidden="1" outlineLevel="2" x14ac:dyDescent="0.25">
      <c r="A47" s="750"/>
      <c r="B47" s="51"/>
      <c r="C47" s="750"/>
      <c r="D47" s="685"/>
      <c r="E47" s="703">
        <v>2</v>
      </c>
      <c r="F47" s="674"/>
      <c r="G47" s="674"/>
      <c r="H47" s="674"/>
      <c r="I47" s="674"/>
      <c r="J47" s="704"/>
      <c r="K47" s="695">
        <f t="shared" ref="K47:K51" si="3">F47*G47*H47*I47*J47</f>
        <v>0</v>
      </c>
      <c r="L47" s="674"/>
      <c r="M47" s="705">
        <f t="shared" si="2"/>
        <v>0</v>
      </c>
      <c r="N47" s="684"/>
      <c r="O47" s="750"/>
      <c r="P47" s="4"/>
      <c r="R47" s="607"/>
      <c r="S47" s="607"/>
    </row>
    <row r="48" spans="1:19" hidden="1" outlineLevel="2" x14ac:dyDescent="0.25">
      <c r="A48" s="750"/>
      <c r="B48" s="51"/>
      <c r="C48" s="750"/>
      <c r="D48" s="685"/>
      <c r="E48" s="703">
        <v>3</v>
      </c>
      <c r="F48" s="674"/>
      <c r="G48" s="674"/>
      <c r="H48" s="674"/>
      <c r="I48" s="674"/>
      <c r="J48" s="704"/>
      <c r="K48" s="695">
        <f t="shared" si="3"/>
        <v>0</v>
      </c>
      <c r="L48" s="674"/>
      <c r="M48" s="705">
        <f t="shared" si="2"/>
        <v>0</v>
      </c>
      <c r="N48" s="684"/>
      <c r="O48" s="750"/>
      <c r="P48" s="4"/>
      <c r="R48" s="607"/>
      <c r="S48" s="607"/>
    </row>
    <row r="49" spans="1:28" hidden="1" outlineLevel="2" x14ac:dyDescent="0.25">
      <c r="A49" s="750"/>
      <c r="B49" s="51"/>
      <c r="C49" s="750"/>
      <c r="D49" s="685"/>
      <c r="E49" s="703">
        <v>4</v>
      </c>
      <c r="F49" s="674"/>
      <c r="G49" s="674"/>
      <c r="H49" s="674"/>
      <c r="I49" s="674"/>
      <c r="J49" s="704"/>
      <c r="K49" s="695">
        <f t="shared" si="3"/>
        <v>0</v>
      </c>
      <c r="L49" s="674"/>
      <c r="M49" s="705">
        <f t="shared" si="2"/>
        <v>0</v>
      </c>
      <c r="N49" s="684"/>
      <c r="O49" s="750"/>
      <c r="P49" s="4"/>
      <c r="R49" s="607"/>
      <c r="S49" s="607"/>
    </row>
    <row r="50" spans="1:28" hidden="1" outlineLevel="2" x14ac:dyDescent="0.25">
      <c r="A50" s="750"/>
      <c r="B50" s="51"/>
      <c r="C50" s="750"/>
      <c r="D50" s="685"/>
      <c r="E50" s="703">
        <v>5</v>
      </c>
      <c r="F50" s="674"/>
      <c r="G50" s="674"/>
      <c r="H50" s="674"/>
      <c r="I50" s="674"/>
      <c r="J50" s="704"/>
      <c r="K50" s="695">
        <f t="shared" si="3"/>
        <v>0</v>
      </c>
      <c r="L50" s="674"/>
      <c r="M50" s="705">
        <f t="shared" si="2"/>
        <v>0</v>
      </c>
      <c r="N50" s="684"/>
      <c r="O50" s="750"/>
      <c r="P50" s="4"/>
      <c r="R50" s="607"/>
      <c r="S50" s="607"/>
    </row>
    <row r="51" spans="1:28" hidden="1" outlineLevel="2" x14ac:dyDescent="0.25">
      <c r="A51" s="750"/>
      <c r="B51" s="51"/>
      <c r="C51" s="750"/>
      <c r="D51" s="685"/>
      <c r="E51" s="703">
        <v>6</v>
      </c>
      <c r="F51" s="674"/>
      <c r="G51" s="674"/>
      <c r="H51" s="674"/>
      <c r="I51" s="674"/>
      <c r="J51" s="704"/>
      <c r="K51" s="695">
        <f t="shared" si="3"/>
        <v>0</v>
      </c>
      <c r="L51" s="674"/>
      <c r="M51" s="705">
        <f t="shared" si="2"/>
        <v>0</v>
      </c>
      <c r="N51" s="684"/>
      <c r="O51" s="750"/>
      <c r="P51" s="4"/>
      <c r="R51" s="607"/>
      <c r="S51" s="607"/>
    </row>
    <row r="52" spans="1:28" hidden="1" outlineLevel="2" x14ac:dyDescent="0.25">
      <c r="A52" s="750"/>
      <c r="B52" s="51"/>
      <c r="C52" s="750"/>
      <c r="D52" s="685"/>
      <c r="E52" s="751"/>
      <c r="F52" s="750"/>
      <c r="G52" s="750"/>
      <c r="H52" s="750"/>
      <c r="I52" s="750"/>
      <c r="J52" s="16"/>
      <c r="K52" s="726"/>
      <c r="L52" s="750"/>
      <c r="M52" s="742"/>
      <c r="N52" s="684"/>
      <c r="O52" s="750"/>
      <c r="P52" s="4"/>
      <c r="R52" s="607"/>
      <c r="S52" s="607"/>
    </row>
    <row r="53" spans="1:28" ht="16.5" hidden="1" outlineLevel="2" x14ac:dyDescent="0.3">
      <c r="A53" s="750"/>
      <c r="B53" s="51"/>
      <c r="C53" s="750"/>
      <c r="D53" s="686" t="s">
        <v>1375</v>
      </c>
      <c r="E53" s="727"/>
      <c r="F53" s="727"/>
      <c r="G53" s="727"/>
      <c r="H53" s="728"/>
      <c r="I53" s="750"/>
      <c r="J53" s="729"/>
      <c r="K53" s="743" t="str">
        <f>IFERROR(SUM(M46:M51)/SUM(F46:F51),"")</f>
        <v/>
      </c>
      <c r="L53" s="1472" t="s">
        <v>1359</v>
      </c>
      <c r="M53" s="1930"/>
      <c r="N53" s="1931"/>
      <c r="O53" s="750"/>
      <c r="P53" s="4"/>
      <c r="R53" s="607"/>
      <c r="S53" s="607"/>
    </row>
    <row r="54" spans="1:28" ht="16.5" hidden="1" outlineLevel="2" x14ac:dyDescent="0.3">
      <c r="A54" s="750"/>
      <c r="B54" s="51"/>
      <c r="C54" s="750"/>
      <c r="D54" s="736" t="s">
        <v>1374</v>
      </c>
      <c r="E54" s="727"/>
      <c r="F54" s="727"/>
      <c r="G54" s="727"/>
      <c r="H54" s="728"/>
      <c r="I54" s="750"/>
      <c r="J54" s="729"/>
      <c r="K54" s="744" t="str">
        <f>IFERROR(SUM(K46:K51)/SUM(F46:F51),"")</f>
        <v/>
      </c>
      <c r="L54" s="1473" t="s">
        <v>1359</v>
      </c>
      <c r="M54" s="1930"/>
      <c r="N54" s="1930"/>
      <c r="O54" s="685"/>
      <c r="P54" s="4"/>
      <c r="R54" s="607"/>
      <c r="S54" s="607"/>
    </row>
    <row r="55" spans="1:28" ht="16.5" hidden="1" outlineLevel="2" x14ac:dyDescent="0.25">
      <c r="A55" s="750"/>
      <c r="B55" s="51"/>
      <c r="C55" s="750"/>
      <c r="D55" s="714" t="s">
        <v>1462</v>
      </c>
      <c r="E55" s="237"/>
      <c r="F55" s="237"/>
      <c r="G55" s="237"/>
      <c r="H55" s="237"/>
      <c r="I55" s="750"/>
      <c r="J55" s="750"/>
      <c r="K55" s="1199">
        <f>SUM(K56:K61)</f>
        <v>0</v>
      </c>
      <c r="L55" s="1474" t="s">
        <v>1200</v>
      </c>
      <c r="M55" s="735"/>
      <c r="N55" s="790"/>
      <c r="O55" s="750"/>
      <c r="P55" s="4"/>
      <c r="R55" s="607"/>
      <c r="S55" s="204"/>
      <c r="T55" s="698"/>
    </row>
    <row r="56" spans="1:28" hidden="1" outlineLevel="2" x14ac:dyDescent="0.25">
      <c r="A56" s="750"/>
      <c r="B56" s="51"/>
      <c r="C56" s="750"/>
      <c r="D56" s="731"/>
      <c r="E56" s="237"/>
      <c r="F56" s="237"/>
      <c r="G56" s="237"/>
      <c r="H56" s="750"/>
      <c r="I56" s="750"/>
      <c r="J56" s="690" t="s">
        <v>1197</v>
      </c>
      <c r="K56" s="724"/>
      <c r="L56" s="1474" t="s">
        <v>1200</v>
      </c>
      <c r="M56" s="754"/>
      <c r="N56" s="755"/>
      <c r="O56" s="750"/>
      <c r="P56" s="4"/>
      <c r="R56" s="607"/>
      <c r="S56" s="204"/>
      <c r="T56" s="698"/>
    </row>
    <row r="57" spans="1:28" hidden="1" outlineLevel="2" x14ac:dyDescent="0.25">
      <c r="A57" s="750"/>
      <c r="B57" s="51"/>
      <c r="C57" s="750"/>
      <c r="D57" s="731"/>
      <c r="E57" s="237"/>
      <c r="F57" s="237"/>
      <c r="G57" s="237"/>
      <c r="H57" s="750"/>
      <c r="I57" s="750"/>
      <c r="J57" s="690" t="s">
        <v>1195</v>
      </c>
      <c r="K57" s="725"/>
      <c r="L57" s="1474" t="s">
        <v>1200</v>
      </c>
      <c r="M57" s="754"/>
      <c r="N57" s="755"/>
      <c r="O57" s="750"/>
      <c r="P57" s="4"/>
      <c r="R57" s="607"/>
      <c r="S57" s="607"/>
    </row>
    <row r="58" spans="1:28" hidden="1" outlineLevel="2" x14ac:dyDescent="0.25">
      <c r="A58" s="750"/>
      <c r="B58" s="51"/>
      <c r="C58" s="750"/>
      <c r="D58" s="731"/>
      <c r="E58" s="237"/>
      <c r="F58" s="237"/>
      <c r="G58" s="237"/>
      <c r="H58" s="750"/>
      <c r="I58" s="750"/>
      <c r="J58" s="690" t="s">
        <v>1192</v>
      </c>
      <c r="K58" s="725"/>
      <c r="L58" s="1474" t="s">
        <v>1200</v>
      </c>
      <c r="M58" s="754"/>
      <c r="N58" s="755"/>
      <c r="O58" s="750"/>
      <c r="P58" s="4"/>
      <c r="R58" s="607"/>
      <c r="S58" s="607"/>
    </row>
    <row r="59" spans="1:28" hidden="1" outlineLevel="2" x14ac:dyDescent="0.25">
      <c r="A59" s="750"/>
      <c r="B59" s="51"/>
      <c r="C59" s="750"/>
      <c r="D59" s="731"/>
      <c r="E59" s="237"/>
      <c r="F59" s="237"/>
      <c r="G59" s="237"/>
      <c r="H59" s="750"/>
      <c r="I59" s="750"/>
      <c r="J59" s="690" t="s">
        <v>1193</v>
      </c>
      <c r="K59" s="725"/>
      <c r="L59" s="1474" t="s">
        <v>1200</v>
      </c>
      <c r="M59" s="754"/>
      <c r="N59" s="755"/>
      <c r="O59" s="750"/>
      <c r="P59" s="4"/>
      <c r="R59" s="607"/>
      <c r="S59" s="607"/>
    </row>
    <row r="60" spans="1:28" hidden="1" outlineLevel="2" x14ac:dyDescent="0.25">
      <c r="A60" s="750"/>
      <c r="B60" s="51"/>
      <c r="C60" s="750"/>
      <c r="D60" s="731"/>
      <c r="E60" s="237"/>
      <c r="F60" s="237"/>
      <c r="G60" s="237"/>
      <c r="H60" s="750"/>
      <c r="I60" s="750"/>
      <c r="J60" s="690" t="str">
        <f>J39</f>
        <v xml:space="preserve">Outro 1 (O1) </v>
      </c>
      <c r="K60" s="725"/>
      <c r="L60" s="1474" t="s">
        <v>1200</v>
      </c>
      <c r="M60" s="754"/>
      <c r="N60" s="755"/>
      <c r="O60" s="750"/>
      <c r="P60" s="4"/>
      <c r="R60" s="607"/>
      <c r="S60" s="607"/>
    </row>
    <row r="61" spans="1:28" hidden="1" outlineLevel="2" x14ac:dyDescent="0.25">
      <c r="A61" s="750"/>
      <c r="B61" s="51"/>
      <c r="C61" s="750"/>
      <c r="D61" s="253"/>
      <c r="E61" s="237"/>
      <c r="F61" s="237"/>
      <c r="G61" s="237"/>
      <c r="H61" s="750"/>
      <c r="I61" s="750"/>
      <c r="J61" s="690" t="str">
        <f>J40</f>
        <v>Outro 2 (O2)</v>
      </c>
      <c r="K61" s="725"/>
      <c r="L61" s="1474" t="s">
        <v>1200</v>
      </c>
      <c r="M61" s="754"/>
      <c r="N61" s="755"/>
      <c r="O61" s="750"/>
      <c r="P61" s="4"/>
      <c r="R61" s="607"/>
      <c r="S61" s="607"/>
    </row>
    <row r="62" spans="1:28" ht="16.5" hidden="1" outlineLevel="2" thickBot="1" x14ac:dyDescent="0.3">
      <c r="A62" s="750"/>
      <c r="B62" s="51"/>
      <c r="C62" s="750"/>
      <c r="D62" s="809" t="s">
        <v>1373</v>
      </c>
      <c r="E62" s="707"/>
      <c r="F62" s="707"/>
      <c r="G62" s="707"/>
      <c r="H62" s="810"/>
      <c r="I62" s="707"/>
      <c r="J62" s="764"/>
      <c r="K62" s="741"/>
      <c r="L62" s="1475" t="s">
        <v>13</v>
      </c>
      <c r="M62" s="811"/>
      <c r="N62" s="812"/>
      <c r="O62" s="750"/>
      <c r="P62" s="4"/>
      <c r="R62" s="706"/>
      <c r="S62" s="706"/>
      <c r="T62" s="706"/>
      <c r="U62" s="706"/>
      <c r="V62" s="706"/>
      <c r="W62" s="706"/>
      <c r="X62" s="706"/>
      <c r="Y62" s="706"/>
      <c r="Z62" s="706"/>
      <c r="AA62" s="706"/>
      <c r="AB62" s="706"/>
    </row>
    <row r="63" spans="1:28" ht="15.75" hidden="1" outlineLevel="2" x14ac:dyDescent="0.25">
      <c r="A63" s="750"/>
      <c r="B63" s="51"/>
      <c r="C63" s="750"/>
      <c r="D63" s="16"/>
      <c r="E63" s="750"/>
      <c r="F63" s="750"/>
      <c r="G63" s="750"/>
      <c r="H63" s="700"/>
      <c r="I63" s="750"/>
      <c r="J63" s="701"/>
      <c r="K63" s="808"/>
      <c r="L63" s="752"/>
      <c r="M63" s="412"/>
      <c r="N63" s="412"/>
      <c r="O63" s="750"/>
      <c r="P63" s="4"/>
      <c r="R63" s="706"/>
      <c r="S63" s="706"/>
      <c r="T63" s="706"/>
      <c r="U63" s="706"/>
      <c r="V63" s="706"/>
      <c r="W63" s="706"/>
      <c r="X63" s="706"/>
      <c r="Y63" s="706"/>
      <c r="Z63" s="706"/>
      <c r="AA63" s="706"/>
      <c r="AB63" s="706"/>
    </row>
    <row r="64" spans="1:28" ht="15.75" hidden="1" outlineLevel="1" collapsed="1" x14ac:dyDescent="0.25">
      <c r="A64" s="750"/>
      <c r="B64" s="1511"/>
      <c r="C64" s="1512"/>
      <c r="D64" s="1512"/>
      <c r="E64" s="1512"/>
      <c r="F64" s="1512"/>
      <c r="G64" s="1512"/>
      <c r="H64" s="1512"/>
      <c r="I64" s="1512"/>
      <c r="J64" s="1512"/>
      <c r="K64" s="1513"/>
      <c r="L64" s="1513"/>
      <c r="M64" s="1513"/>
      <c r="N64" s="1513"/>
      <c r="O64" s="1512"/>
      <c r="P64" s="1514"/>
      <c r="R64" s="706"/>
      <c r="S64" s="706"/>
      <c r="T64" s="706"/>
      <c r="U64" s="706"/>
      <c r="V64" s="706"/>
      <c r="W64" s="706"/>
      <c r="X64" s="706"/>
      <c r="Y64" s="706"/>
      <c r="Z64" s="706"/>
      <c r="AA64" s="706"/>
      <c r="AB64" s="706"/>
    </row>
    <row r="65" spans="1:19" ht="15.75" hidden="1" outlineLevel="1" x14ac:dyDescent="0.25">
      <c r="A65" s="4"/>
      <c r="B65" s="1515"/>
      <c r="C65" s="1922" t="s">
        <v>1137</v>
      </c>
      <c r="D65" s="1922"/>
      <c r="E65" s="1922"/>
      <c r="F65" s="1922"/>
      <c r="G65" s="1922"/>
      <c r="H65" s="1922"/>
      <c r="I65" s="1922"/>
      <c r="J65" s="1922"/>
      <c r="K65" s="1922"/>
      <c r="L65" s="1922"/>
      <c r="M65" s="1922"/>
      <c r="N65" s="1922"/>
      <c r="O65" s="1922"/>
      <c r="P65" s="1516"/>
      <c r="R65" s="706"/>
      <c r="S65" s="607"/>
    </row>
    <row r="66" spans="1:19" hidden="1" outlineLevel="1" x14ac:dyDescent="0.25">
      <c r="A66" s="750"/>
      <c r="B66" s="51"/>
      <c r="C66" s="750"/>
      <c r="D66" s="750"/>
      <c r="E66" s="750"/>
      <c r="F66" s="750"/>
      <c r="G66" s="750"/>
      <c r="H66" s="750"/>
      <c r="I66" s="750"/>
      <c r="J66" s="750"/>
      <c r="K66" s="750"/>
      <c r="L66" s="750"/>
      <c r="M66" s="750"/>
      <c r="N66" s="750"/>
      <c r="O66" s="750"/>
      <c r="P66" s="4"/>
      <c r="R66" s="607"/>
      <c r="S66" s="607"/>
    </row>
    <row r="67" spans="1:19" ht="16.5" hidden="1" outlineLevel="1" thickBot="1" x14ac:dyDescent="0.3">
      <c r="A67" s="750"/>
      <c r="B67" s="51"/>
      <c r="C67" s="397" t="s">
        <v>0</v>
      </c>
      <c r="D67" s="397"/>
      <c r="E67" s="397"/>
      <c r="F67" s="397"/>
      <c r="G67" s="750"/>
      <c r="H67" s="750"/>
      <c r="I67" s="750"/>
      <c r="J67" s="397" t="s">
        <v>1</v>
      </c>
      <c r="K67" s="397"/>
      <c r="L67" s="397"/>
      <c r="M67" s="397"/>
      <c r="N67" s="750"/>
      <c r="O67" s="752"/>
      <c r="P67" s="4"/>
      <c r="R67" s="607"/>
      <c r="S67" s="607"/>
    </row>
    <row r="68" spans="1:19" ht="18.75" hidden="1" outlineLevel="1" x14ac:dyDescent="0.35">
      <c r="A68" s="750"/>
      <c r="B68" s="51"/>
      <c r="C68" s="403" t="s">
        <v>1201</v>
      </c>
      <c r="D68" s="405"/>
      <c r="E68" s="708"/>
      <c r="F68" s="405"/>
      <c r="G68" s="708"/>
      <c r="H68" s="187"/>
      <c r="I68" s="750"/>
      <c r="J68" s="767" t="s">
        <v>1199</v>
      </c>
      <c r="K68" s="768"/>
      <c r="L68" s="769"/>
      <c r="M68" s="768"/>
      <c r="N68" s="770"/>
      <c r="O68" s="752"/>
      <c r="P68" s="4"/>
      <c r="R68" s="607"/>
      <c r="S68" s="607"/>
    </row>
    <row r="69" spans="1:19" ht="15.75" hidden="1" outlineLevel="1" x14ac:dyDescent="0.25">
      <c r="A69" s="750"/>
      <c r="B69" s="51"/>
      <c r="C69" s="407"/>
      <c r="D69" s="406" t="s">
        <v>1191</v>
      </c>
      <c r="E69" s="709"/>
      <c r="F69" s="710" t="str">
        <f>IF(K17="","",K17*($K$32-$K$33))</f>
        <v/>
      </c>
      <c r="G69" s="711" t="s">
        <v>1188</v>
      </c>
      <c r="H69" s="712"/>
      <c r="I69" s="750"/>
      <c r="J69" s="771"/>
      <c r="K69" s="772" t="s">
        <v>1191</v>
      </c>
      <c r="L69" s="773" t="str">
        <f>IF(K17="","",K17*($K$53-$K$54))</f>
        <v/>
      </c>
      <c r="M69" s="772" t="s">
        <v>1188</v>
      </c>
      <c r="N69" s="774"/>
      <c r="O69" s="752"/>
      <c r="P69" s="4"/>
      <c r="R69" s="607"/>
      <c r="S69" s="607"/>
    </row>
    <row r="70" spans="1:19" ht="15.75" hidden="1" outlineLevel="1" x14ac:dyDescent="0.25">
      <c r="A70" s="750"/>
      <c r="B70" s="51"/>
      <c r="C70" s="407"/>
      <c r="D70" s="406" t="s">
        <v>1192</v>
      </c>
      <c r="E70" s="709"/>
      <c r="F70" s="710" t="str">
        <f>IF(K18="","",K18*($K$32-$K$33))</f>
        <v/>
      </c>
      <c r="G70" s="711" t="s">
        <v>1188</v>
      </c>
      <c r="H70" s="712"/>
      <c r="I70" s="750"/>
      <c r="J70" s="771"/>
      <c r="K70" s="772" t="s">
        <v>1192</v>
      </c>
      <c r="L70" s="773" t="str">
        <f>IF(K18="","",K18*($K$53-$K$54))</f>
        <v/>
      </c>
      <c r="M70" s="772" t="s">
        <v>1188</v>
      </c>
      <c r="N70" s="774"/>
      <c r="O70" s="752"/>
      <c r="P70" s="4"/>
      <c r="R70" s="607"/>
      <c r="S70" s="607"/>
    </row>
    <row r="71" spans="1:19" ht="15.75" hidden="1" outlineLevel="1" x14ac:dyDescent="0.25">
      <c r="A71" s="750"/>
      <c r="B71" s="51"/>
      <c r="C71" s="407"/>
      <c r="D71" s="406" t="s">
        <v>1193</v>
      </c>
      <c r="E71" s="709"/>
      <c r="F71" s="396" t="str">
        <f>IF(K19="","",K19*($K$32-$K$33))</f>
        <v/>
      </c>
      <c r="G71" s="711" t="s">
        <v>1188</v>
      </c>
      <c r="H71" s="712"/>
      <c r="I71" s="750"/>
      <c r="J71" s="771"/>
      <c r="K71" s="772" t="s">
        <v>1193</v>
      </c>
      <c r="L71" s="775" t="str">
        <f>IF(K19="","",K19*($K$53-$K$54))</f>
        <v/>
      </c>
      <c r="M71" s="772" t="s">
        <v>1188</v>
      </c>
      <c r="N71" s="774"/>
      <c r="O71" s="752"/>
      <c r="P71" s="4"/>
      <c r="R71" s="607"/>
      <c r="S71" s="607"/>
    </row>
    <row r="72" spans="1:19" ht="15.75" hidden="1" outlineLevel="1" x14ac:dyDescent="0.25">
      <c r="A72" s="750"/>
      <c r="B72" s="51"/>
      <c r="C72" s="407"/>
      <c r="D72" s="406" t="str">
        <f>$J$20</f>
        <v xml:space="preserve">Outro 1 (O1) </v>
      </c>
      <c r="E72" s="709"/>
      <c r="F72" s="396" t="str">
        <f>IF(K20="","",K20*($K$32-$K$33))</f>
        <v/>
      </c>
      <c r="G72" s="711" t="s">
        <v>1188</v>
      </c>
      <c r="H72" s="712"/>
      <c r="I72" s="750"/>
      <c r="J72" s="771"/>
      <c r="K72" s="772" t="str">
        <f>$J$20</f>
        <v xml:space="preserve">Outro 1 (O1) </v>
      </c>
      <c r="L72" s="775" t="str">
        <f>IF(K20="","",K20*($K$53-$K$54))</f>
        <v/>
      </c>
      <c r="M72" s="772" t="s">
        <v>1188</v>
      </c>
      <c r="N72" s="774"/>
      <c r="O72" s="752"/>
      <c r="P72" s="4"/>
      <c r="R72" s="607"/>
      <c r="S72" s="607"/>
    </row>
    <row r="73" spans="1:19" ht="15.75" hidden="1" outlineLevel="1" x14ac:dyDescent="0.25">
      <c r="A73" s="750"/>
      <c r="B73" s="51"/>
      <c r="C73" s="407"/>
      <c r="D73" s="406" t="str">
        <f>$J$21</f>
        <v>Outro 2 (O2)</v>
      </c>
      <c r="E73" s="709"/>
      <c r="F73" s="396" t="str">
        <f>IF(K21="","",K21*($K$32-$K$33))</f>
        <v/>
      </c>
      <c r="G73" s="711" t="s">
        <v>1188</v>
      </c>
      <c r="H73" s="712"/>
      <c r="I73" s="750"/>
      <c r="J73" s="771"/>
      <c r="K73" s="772" t="str">
        <f>$J$21</f>
        <v>Outro 2 (O2)</v>
      </c>
      <c r="L73" s="775" t="str">
        <f>IF(K21="","",K21*($K$53-$K$54))</f>
        <v/>
      </c>
      <c r="M73" s="772" t="s">
        <v>1188</v>
      </c>
      <c r="N73" s="774"/>
      <c r="O73" s="752"/>
      <c r="P73" s="4"/>
      <c r="R73" s="607"/>
      <c r="S73" s="607"/>
    </row>
    <row r="74" spans="1:19" ht="16.5" hidden="1" outlineLevel="1" thickBot="1" x14ac:dyDescent="0.3">
      <c r="A74" s="750"/>
      <c r="B74" s="51"/>
      <c r="C74" s="38" t="s">
        <v>504</v>
      </c>
      <c r="D74" s="778"/>
      <c r="E74" s="1948">
        <f>K34*SUM(F25:F30)+K41</f>
        <v>0</v>
      </c>
      <c r="F74" s="1948"/>
      <c r="G74" s="778" t="s">
        <v>13</v>
      </c>
      <c r="H74" s="713"/>
      <c r="I74" s="750"/>
      <c r="J74" s="776" t="s">
        <v>504</v>
      </c>
      <c r="K74" s="1949">
        <f>K55*SUM(F46:F51)+K62</f>
        <v>0</v>
      </c>
      <c r="L74" s="1949"/>
      <c r="M74" s="779" t="s">
        <v>13</v>
      </c>
      <c r="N74" s="777"/>
      <c r="O74" s="752"/>
      <c r="P74" s="4"/>
      <c r="R74" s="607"/>
      <c r="S74" s="607"/>
    </row>
    <row r="75" spans="1:19" hidden="1" outlineLevel="1" x14ac:dyDescent="0.25">
      <c r="A75" s="750"/>
      <c r="B75" s="51"/>
      <c r="C75" s="750"/>
      <c r="D75" s="750"/>
      <c r="E75" s="750"/>
      <c r="F75" s="750"/>
      <c r="G75" s="750"/>
      <c r="H75" s="750"/>
      <c r="I75" s="750"/>
      <c r="J75" s="750"/>
      <c r="K75" s="750"/>
      <c r="L75" s="750"/>
      <c r="M75" s="750"/>
      <c r="N75" s="750"/>
      <c r="O75" s="752"/>
      <c r="P75" s="4"/>
      <c r="R75" s="607"/>
      <c r="S75" s="607"/>
    </row>
    <row r="76" spans="1:19" hidden="1" outlineLevel="1" x14ac:dyDescent="0.25">
      <c r="A76" s="750"/>
      <c r="B76" s="51"/>
      <c r="C76" s="750"/>
      <c r="D76" s="750"/>
      <c r="E76" s="750"/>
      <c r="F76" s="750"/>
      <c r="G76" s="750"/>
      <c r="H76" s="750"/>
      <c r="I76" s="750"/>
      <c r="J76" s="750"/>
      <c r="K76" s="750"/>
      <c r="L76" s="750"/>
      <c r="M76" s="750"/>
      <c r="N76" s="750"/>
      <c r="O76" s="752"/>
      <c r="P76" s="4"/>
      <c r="R76" s="750"/>
      <c r="S76" s="750"/>
    </row>
    <row r="77" spans="1:19" hidden="1" outlineLevel="1" x14ac:dyDescent="0.25">
      <c r="A77" s="1381"/>
      <c r="B77" s="51"/>
      <c r="C77" s="1381"/>
      <c r="D77" s="1381"/>
      <c r="E77" s="1381"/>
      <c r="F77" s="1381"/>
      <c r="G77" s="1381"/>
      <c r="H77" s="1381"/>
      <c r="I77" s="1381"/>
      <c r="J77" s="1381"/>
      <c r="K77" s="1381"/>
      <c r="L77" s="1381"/>
      <c r="M77" s="1381"/>
      <c r="N77" s="1381"/>
      <c r="O77" s="1380"/>
      <c r="P77" s="4"/>
      <c r="R77" s="1381"/>
      <c r="S77" s="1381"/>
    </row>
    <row r="78" spans="1:19" collapsed="1" x14ac:dyDescent="0.25">
      <c r="A78" s="1381"/>
      <c r="B78" s="51"/>
      <c r="C78" s="1381"/>
      <c r="D78" s="1381"/>
      <c r="E78" s="1381"/>
      <c r="F78" s="1381"/>
      <c r="G78" s="1381"/>
      <c r="H78" s="1381"/>
      <c r="I78" s="1381"/>
      <c r="J78" s="1381"/>
      <c r="K78" s="1381"/>
      <c r="L78" s="1381"/>
      <c r="M78" s="1381"/>
      <c r="N78" s="1381"/>
      <c r="O78" s="1380"/>
      <c r="P78" s="4"/>
      <c r="R78" s="1381"/>
      <c r="S78" s="1381"/>
    </row>
    <row r="79" spans="1:19" ht="15.75" x14ac:dyDescent="0.25">
      <c r="A79" s="750"/>
      <c r="B79" s="51"/>
      <c r="C79" s="288" t="s">
        <v>1202</v>
      </c>
      <c r="D79" s="750"/>
      <c r="E79" s="750"/>
      <c r="F79" s="750"/>
      <c r="G79" s="750"/>
      <c r="H79" s="750"/>
      <c r="I79" s="750"/>
      <c r="J79" s="750"/>
      <c r="K79" s="750"/>
      <c r="L79" s="750"/>
      <c r="M79" s="750"/>
      <c r="N79" s="750"/>
      <c r="O79" s="750"/>
      <c r="P79" s="4"/>
    </row>
    <row r="80" spans="1:19" ht="49.5" hidden="1" customHeight="1" outlineLevel="1" x14ac:dyDescent="0.25">
      <c r="A80" s="607"/>
      <c r="B80" s="51"/>
      <c r="C80" s="1782" t="s">
        <v>1377</v>
      </c>
      <c r="D80" s="1782"/>
      <c r="E80" s="1782"/>
      <c r="F80" s="1782"/>
      <c r="G80" s="1782"/>
      <c r="H80" s="1782"/>
      <c r="I80" s="1782"/>
      <c r="J80" s="1782"/>
      <c r="K80" s="1782"/>
      <c r="L80" s="1782"/>
      <c r="M80" s="1782"/>
      <c r="N80" s="1782"/>
      <c r="O80" s="1782"/>
      <c r="P80" s="4"/>
    </row>
    <row r="81" spans="1:17" hidden="1" outlineLevel="1" x14ac:dyDescent="0.25">
      <c r="A81" s="750"/>
      <c r="B81" s="51"/>
      <c r="C81" s="321"/>
      <c r="D81" s="321"/>
      <c r="E81" s="321"/>
      <c r="F81" s="321"/>
      <c r="G81" s="321"/>
      <c r="H81" s="321"/>
      <c r="I81" s="321"/>
      <c r="J81" s="321"/>
      <c r="K81" s="321"/>
      <c r="L81" s="321"/>
      <c r="M81" s="321"/>
      <c r="N81" s="321"/>
      <c r="O81" s="321"/>
      <c r="P81" s="4"/>
      <c r="Q81" s="750"/>
    </row>
    <row r="82" spans="1:17" ht="15.75" hidden="1" outlineLevel="1" x14ac:dyDescent="0.25">
      <c r="A82" s="4"/>
      <c r="B82" s="1941" t="s">
        <v>495</v>
      </c>
      <c r="C82" s="1942"/>
      <c r="D82" s="1942"/>
      <c r="E82" s="1942"/>
      <c r="F82" s="1942"/>
      <c r="G82" s="1942"/>
      <c r="H82" s="1942"/>
      <c r="I82" s="1942"/>
      <c r="J82" s="1942"/>
      <c r="K82" s="1942"/>
      <c r="L82" s="1942"/>
      <c r="M82" s="1942"/>
      <c r="N82" s="1942"/>
      <c r="O82" s="1942"/>
      <c r="P82" s="1943"/>
    </row>
    <row r="83" spans="1:17" ht="16.5" hidden="1" outlineLevel="2" thickBot="1" x14ac:dyDescent="0.3">
      <c r="A83" s="750"/>
      <c r="B83" s="781"/>
      <c r="C83" s="756"/>
      <c r="D83" s="756"/>
      <c r="E83" s="756"/>
      <c r="F83" s="756"/>
      <c r="G83" s="756"/>
      <c r="H83" s="756"/>
      <c r="I83" s="756"/>
      <c r="J83" s="756"/>
      <c r="K83" s="756"/>
      <c r="L83" s="756"/>
      <c r="M83" s="756"/>
      <c r="N83" s="756"/>
      <c r="O83" s="756"/>
      <c r="P83" s="757"/>
      <c r="Q83" s="750"/>
    </row>
    <row r="84" spans="1:17" hidden="1" outlineLevel="2" x14ac:dyDescent="0.25">
      <c r="A84" s="750"/>
      <c r="B84" s="792"/>
      <c r="C84" s="786"/>
      <c r="D84" s="111" t="s">
        <v>534</v>
      </c>
      <c r="E84" s="620"/>
      <c r="F84" s="620"/>
      <c r="G84" s="620"/>
      <c r="H84" s="620"/>
      <c r="I84" s="594"/>
      <c r="J84" s="594"/>
      <c r="K84" s="1408" t="s">
        <v>504</v>
      </c>
      <c r="L84" s="1408" t="s">
        <v>30</v>
      </c>
      <c r="M84" s="1871" t="s">
        <v>1156</v>
      </c>
      <c r="N84" s="1872"/>
      <c r="O84" s="686"/>
      <c r="P84" s="791"/>
    </row>
    <row r="85" spans="1:17" ht="16.5" hidden="1" outlineLevel="2" x14ac:dyDescent="0.3">
      <c r="B85" s="792"/>
      <c r="C85" s="16"/>
      <c r="D85" s="257" t="s">
        <v>1189</v>
      </c>
      <c r="E85" s="16"/>
      <c r="F85" s="16"/>
      <c r="G85" s="16"/>
      <c r="H85" s="16"/>
      <c r="I85" s="16"/>
      <c r="J85" s="16"/>
      <c r="K85" s="1468"/>
      <c r="L85" s="1465"/>
      <c r="M85" s="1936" t="s">
        <v>1460</v>
      </c>
      <c r="N85" s="1937"/>
      <c r="O85" s="686"/>
      <c r="P85" s="791"/>
    </row>
    <row r="86" spans="1:17" ht="15" hidden="1" customHeight="1" outlineLevel="2" x14ac:dyDescent="0.25">
      <c r="B86" s="792"/>
      <c r="C86" s="16"/>
      <c r="D86" s="1934" t="s">
        <v>1376</v>
      </c>
      <c r="E86" s="1935"/>
      <c r="F86" s="1935"/>
      <c r="G86" s="1935"/>
      <c r="H86" s="1935"/>
      <c r="I86" s="1935"/>
      <c r="J86" s="1935"/>
      <c r="K86" s="759" t="str">
        <f>IFERROR(0.00984*(SQRT(K87^2+K88^2))^0.63*((K88/K87)*100)^1.18,"")</f>
        <v/>
      </c>
      <c r="L86" s="1379"/>
      <c r="M86" s="1379" t="s">
        <v>1403</v>
      </c>
      <c r="N86" s="1469"/>
      <c r="O86" s="686"/>
      <c r="P86" s="791"/>
    </row>
    <row r="87" spans="1:17" hidden="1" outlineLevel="2" x14ac:dyDescent="0.25">
      <c r="A87" s="750"/>
      <c r="B87" s="792"/>
      <c r="C87" s="16"/>
      <c r="D87" s="686"/>
      <c r="E87" s="391"/>
      <c r="F87" s="391"/>
      <c r="G87" s="391"/>
      <c r="H87" s="391"/>
      <c r="I87" s="391"/>
      <c r="J87" s="737" t="s">
        <v>1349</v>
      </c>
      <c r="K87" s="735"/>
      <c r="L87" s="1466" t="s">
        <v>1186</v>
      </c>
      <c r="M87" s="754"/>
      <c r="N87" s="755"/>
      <c r="O87" s="686"/>
      <c r="P87" s="791"/>
    </row>
    <row r="88" spans="1:17" hidden="1" outlineLevel="2" x14ac:dyDescent="0.25">
      <c r="B88" s="792"/>
      <c r="C88" s="16"/>
      <c r="D88" s="686"/>
      <c r="E88" s="391"/>
      <c r="F88" s="391"/>
      <c r="G88" s="391"/>
      <c r="H88" s="391"/>
      <c r="I88" s="391"/>
      <c r="J88" s="737" t="s">
        <v>1350</v>
      </c>
      <c r="K88" s="754"/>
      <c r="L88" s="1466" t="s">
        <v>1186</v>
      </c>
      <c r="M88" s="754"/>
      <c r="N88" s="755"/>
      <c r="O88" s="686"/>
      <c r="P88" s="791"/>
    </row>
    <row r="89" spans="1:17" ht="16.5" hidden="1" outlineLevel="2" x14ac:dyDescent="0.3">
      <c r="B89" s="792"/>
      <c r="C89" s="16"/>
      <c r="D89" s="688" t="s">
        <v>1205</v>
      </c>
      <c r="E89" s="16"/>
      <c r="F89" s="16"/>
      <c r="G89" s="254"/>
      <c r="H89" s="690"/>
      <c r="I89" s="16"/>
      <c r="J89" s="16"/>
      <c r="K89" s="474"/>
      <c r="L89" s="1384" t="s">
        <v>1186</v>
      </c>
      <c r="M89" s="754"/>
      <c r="N89" s="755"/>
      <c r="O89" s="686"/>
      <c r="P89" s="791"/>
    </row>
    <row r="90" spans="1:17" ht="16.5" hidden="1" outlineLevel="2" x14ac:dyDescent="0.3">
      <c r="B90" s="792"/>
      <c r="C90" s="787"/>
      <c r="D90" s="688" t="s">
        <v>1206</v>
      </c>
      <c r="E90" s="16"/>
      <c r="F90" s="16"/>
      <c r="G90" s="16"/>
      <c r="H90" s="690"/>
      <c r="I90" s="16"/>
      <c r="J90" s="16"/>
      <c r="K90" s="474"/>
      <c r="L90" s="1384" t="s">
        <v>1186</v>
      </c>
      <c r="M90" s="754"/>
      <c r="N90" s="755"/>
      <c r="O90" s="686"/>
      <c r="P90" s="791"/>
    </row>
    <row r="91" spans="1:17" ht="16.5" hidden="1" outlineLevel="2" x14ac:dyDescent="0.25">
      <c r="B91" s="792"/>
      <c r="C91" s="16"/>
      <c r="D91" s="714" t="s">
        <v>1208</v>
      </c>
      <c r="E91" s="16"/>
      <c r="F91" s="16"/>
      <c r="G91" s="16"/>
      <c r="H91" s="16"/>
      <c r="I91" s="16"/>
      <c r="J91" s="16"/>
      <c r="K91" s="474"/>
      <c r="L91" s="1466" t="s">
        <v>1204</v>
      </c>
      <c r="M91" s="754"/>
      <c r="N91" s="755"/>
      <c r="O91" s="785"/>
      <c r="P91" s="791"/>
    </row>
    <row r="92" spans="1:17" ht="18" hidden="1" outlineLevel="2" x14ac:dyDescent="0.3">
      <c r="B92" s="792"/>
      <c r="C92" s="16"/>
      <c r="D92" s="715" t="s">
        <v>511</v>
      </c>
      <c r="E92" s="16"/>
      <c r="F92" s="16"/>
      <c r="G92" s="16"/>
      <c r="H92" s="690"/>
      <c r="I92" s="16"/>
      <c r="J92" s="16"/>
      <c r="K92" s="474"/>
      <c r="L92" s="1384" t="s">
        <v>1209</v>
      </c>
      <c r="M92" s="754"/>
      <c r="N92" s="755"/>
      <c r="O92" s="785"/>
      <c r="P92" s="791"/>
    </row>
    <row r="93" spans="1:17" hidden="1" outlineLevel="2" x14ac:dyDescent="0.25">
      <c r="B93" s="792"/>
      <c r="C93" s="16"/>
      <c r="D93" s="688" t="s">
        <v>1207</v>
      </c>
      <c r="E93" s="16"/>
      <c r="F93" s="16"/>
      <c r="G93" s="16"/>
      <c r="H93" s="16"/>
      <c r="I93" s="16"/>
      <c r="J93" s="16"/>
      <c r="K93" s="783" t="str">
        <f>IFERROR(771.8448*(K89/K90)^0.83291,"")</f>
        <v/>
      </c>
      <c r="L93" s="1466" t="s">
        <v>600</v>
      </c>
      <c r="M93" s="754"/>
      <c r="N93" s="755"/>
      <c r="O93" s="736"/>
      <c r="P93" s="791"/>
    </row>
    <row r="94" spans="1:17" hidden="1" outlineLevel="2" x14ac:dyDescent="0.25">
      <c r="B94" s="792"/>
      <c r="C94" s="16"/>
      <c r="D94" s="688"/>
      <c r="E94" s="16"/>
      <c r="F94" s="16"/>
      <c r="G94" s="16"/>
      <c r="H94" s="16"/>
      <c r="I94" s="16"/>
      <c r="J94" s="16"/>
      <c r="K94" s="716"/>
      <c r="L94" s="1383"/>
      <c r="M94" s="1470"/>
      <c r="N94" s="1471"/>
      <c r="O94" s="736"/>
      <c r="P94" s="791"/>
    </row>
    <row r="95" spans="1:17" hidden="1" outlineLevel="2" x14ac:dyDescent="0.25">
      <c r="B95" s="792"/>
      <c r="C95" s="16"/>
      <c r="D95" s="691" t="s">
        <v>0</v>
      </c>
      <c r="E95" s="16"/>
      <c r="F95" s="16"/>
      <c r="G95" s="795"/>
      <c r="H95" s="795"/>
      <c r="I95" s="795"/>
      <c r="J95" s="795"/>
      <c r="K95" s="795"/>
      <c r="L95" s="16"/>
      <c r="M95" s="16"/>
      <c r="N95" s="782"/>
      <c r="O95" s="736"/>
      <c r="P95" s="791"/>
    </row>
    <row r="96" spans="1:17" hidden="1" outlineLevel="2" x14ac:dyDescent="0.25">
      <c r="B96" s="792"/>
      <c r="C96" s="16"/>
      <c r="D96" s="832" t="s">
        <v>1386</v>
      </c>
      <c r="E96" s="16"/>
      <c r="F96" s="16"/>
      <c r="G96" s="16"/>
      <c r="H96" s="16"/>
      <c r="I96" s="16"/>
      <c r="J96" s="16"/>
      <c r="K96" s="16"/>
      <c r="L96" s="16"/>
      <c r="M96" s="16"/>
      <c r="N96" s="796"/>
      <c r="O96" s="686"/>
      <c r="P96" s="791"/>
    </row>
    <row r="97" spans="1:19" ht="16.5" hidden="1" outlineLevel="2" x14ac:dyDescent="0.3">
      <c r="B97" s="792"/>
      <c r="C97" s="16"/>
      <c r="D97" s="686"/>
      <c r="E97" s="692" t="s">
        <v>999</v>
      </c>
      <c r="F97" s="693" t="s">
        <v>1351</v>
      </c>
      <c r="G97" s="693" t="s">
        <v>1352</v>
      </c>
      <c r="H97" s="693" t="s">
        <v>1353</v>
      </c>
      <c r="I97" s="693" t="s">
        <v>1354</v>
      </c>
      <c r="J97" s="722" t="s">
        <v>1370</v>
      </c>
      <c r="K97" s="1070" t="s">
        <v>1461</v>
      </c>
      <c r="L97" s="722" t="s">
        <v>1371</v>
      </c>
      <c r="M97" s="694" t="s">
        <v>1360</v>
      </c>
      <c r="N97" s="796"/>
      <c r="O97" s="686"/>
      <c r="P97" s="791"/>
    </row>
    <row r="98" spans="1:19" hidden="1" outlineLevel="2" x14ac:dyDescent="0.25">
      <c r="B98" s="792"/>
      <c r="C98" s="16"/>
      <c r="D98" s="686"/>
      <c r="E98" s="593" t="s">
        <v>1361</v>
      </c>
      <c r="F98" s="704"/>
      <c r="G98" s="704"/>
      <c r="H98" s="704"/>
      <c r="I98" s="704"/>
      <c r="J98" s="704"/>
      <c r="K98" s="695">
        <f>F98*G98*H98*I98*J98</f>
        <v>0</v>
      </c>
      <c r="L98" s="704"/>
      <c r="M98" s="695">
        <f>F98*G98*H98*I98*L98</f>
        <v>0</v>
      </c>
      <c r="N98" s="796"/>
      <c r="O98" s="686"/>
      <c r="P98" s="791"/>
    </row>
    <row r="99" spans="1:19" hidden="1" outlineLevel="2" x14ac:dyDescent="0.25">
      <c r="B99" s="792"/>
      <c r="C99" s="16"/>
      <c r="D99" s="686"/>
      <c r="E99" s="593" t="s">
        <v>1362</v>
      </c>
      <c r="F99" s="704"/>
      <c r="G99" s="704"/>
      <c r="H99" s="704"/>
      <c r="I99" s="704"/>
      <c r="J99" s="704"/>
      <c r="K99" s="695">
        <f>F99*G99*H99*I99*J99</f>
        <v>0</v>
      </c>
      <c r="L99" s="704"/>
      <c r="M99" s="695">
        <f t="shared" ref="M99:M103" si="4">F99*G99*H99*I99*L99</f>
        <v>0</v>
      </c>
      <c r="N99" s="796"/>
      <c r="O99" s="686"/>
      <c r="P99" s="791"/>
    </row>
    <row r="100" spans="1:19" hidden="1" outlineLevel="2" x14ac:dyDescent="0.25">
      <c r="B100" s="792"/>
      <c r="C100" s="16"/>
      <c r="D100" s="686"/>
      <c r="E100" s="593" t="s">
        <v>1363</v>
      </c>
      <c r="F100" s="704"/>
      <c r="G100" s="704"/>
      <c r="H100" s="704"/>
      <c r="I100" s="704"/>
      <c r="J100" s="704"/>
      <c r="K100" s="695">
        <f t="shared" ref="K100:K103" si="5">F100*G100*H100*I100*J100</f>
        <v>0</v>
      </c>
      <c r="L100" s="704"/>
      <c r="M100" s="695">
        <f t="shared" si="4"/>
        <v>0</v>
      </c>
      <c r="N100" s="796"/>
      <c r="O100" s="686"/>
      <c r="P100" s="791"/>
    </row>
    <row r="101" spans="1:19" hidden="1" outlineLevel="2" x14ac:dyDescent="0.25">
      <c r="B101" s="792"/>
      <c r="C101" s="16"/>
      <c r="D101" s="686"/>
      <c r="E101" s="593" t="s">
        <v>1364</v>
      </c>
      <c r="F101" s="704"/>
      <c r="G101" s="704"/>
      <c r="H101" s="704"/>
      <c r="I101" s="704"/>
      <c r="J101" s="704"/>
      <c r="K101" s="695">
        <f t="shared" si="5"/>
        <v>0</v>
      </c>
      <c r="L101" s="704"/>
      <c r="M101" s="695">
        <f t="shared" si="4"/>
        <v>0</v>
      </c>
      <c r="N101" s="796"/>
      <c r="O101" s="686"/>
      <c r="P101" s="791"/>
    </row>
    <row r="102" spans="1:19" hidden="1" outlineLevel="2" x14ac:dyDescent="0.25">
      <c r="B102" s="792"/>
      <c r="C102" s="16"/>
      <c r="D102" s="686"/>
      <c r="E102" s="593">
        <v>5</v>
      </c>
      <c r="F102" s="704"/>
      <c r="G102" s="704"/>
      <c r="H102" s="704"/>
      <c r="I102" s="704"/>
      <c r="J102" s="704"/>
      <c r="K102" s="695">
        <f t="shared" si="5"/>
        <v>0</v>
      </c>
      <c r="L102" s="704"/>
      <c r="M102" s="695">
        <f t="shared" si="4"/>
        <v>0</v>
      </c>
      <c r="N102" s="796"/>
      <c r="O102" s="691"/>
      <c r="P102" s="696"/>
    </row>
    <row r="103" spans="1:19" hidden="1" outlineLevel="2" x14ac:dyDescent="0.25">
      <c r="B103" s="792"/>
      <c r="C103" s="16"/>
      <c r="D103" s="686"/>
      <c r="E103" s="593">
        <v>6</v>
      </c>
      <c r="F103" s="704"/>
      <c r="G103" s="704"/>
      <c r="H103" s="704"/>
      <c r="I103" s="704"/>
      <c r="J103" s="704"/>
      <c r="K103" s="695">
        <f t="shared" si="5"/>
        <v>0</v>
      </c>
      <c r="L103" s="704"/>
      <c r="M103" s="695">
        <f t="shared" si="4"/>
        <v>0</v>
      </c>
      <c r="N103" s="796"/>
      <c r="O103" s="686"/>
      <c r="P103" s="791"/>
    </row>
    <row r="104" spans="1:19" s="19" customFormat="1" hidden="1" outlineLevel="2" x14ac:dyDescent="0.25">
      <c r="B104" s="802"/>
      <c r="C104" s="385"/>
      <c r="D104" s="422"/>
      <c r="E104" s="412"/>
      <c r="F104" s="385"/>
      <c r="G104" s="385"/>
      <c r="H104" s="385"/>
      <c r="I104" s="385"/>
      <c r="J104" s="385"/>
      <c r="K104" s="803"/>
      <c r="L104" s="804"/>
      <c r="M104" s="797"/>
      <c r="N104" s="798"/>
      <c r="O104" s="422"/>
      <c r="P104" s="794"/>
    </row>
    <row r="105" spans="1:19" ht="16.5" hidden="1" outlineLevel="2" x14ac:dyDescent="0.3">
      <c r="A105" s="750"/>
      <c r="B105" s="792"/>
      <c r="C105" s="16"/>
      <c r="D105" s="686" t="s">
        <v>1378</v>
      </c>
      <c r="E105" s="727"/>
      <c r="F105" s="727"/>
      <c r="G105" s="727"/>
      <c r="H105" s="728"/>
      <c r="I105" s="16"/>
      <c r="J105" s="801"/>
      <c r="K105" s="789" t="str">
        <f>IFERROR(SUM($K$98:$K$103)/SUM($F$98:$F$103),"")</f>
        <v/>
      </c>
      <c r="L105" s="1466" t="s">
        <v>1359</v>
      </c>
      <c r="M105" s="1930"/>
      <c r="N105" s="1931"/>
      <c r="O105" s="686"/>
      <c r="P105" s="791"/>
      <c r="R105" s="750"/>
      <c r="S105" s="750"/>
    </row>
    <row r="106" spans="1:19" ht="30.75" hidden="1" customHeight="1" outlineLevel="2" x14ac:dyDescent="0.25">
      <c r="A106" s="750"/>
      <c r="B106" s="792"/>
      <c r="C106" s="16"/>
      <c r="D106" s="1950" t="s">
        <v>1379</v>
      </c>
      <c r="E106" s="1571"/>
      <c r="F106" s="1571"/>
      <c r="G106" s="1571"/>
      <c r="H106" s="1571"/>
      <c r="I106" s="1571"/>
      <c r="J106" s="1571"/>
      <c r="K106" s="789" t="str">
        <f>IFERROR(SUM($M$98:$M$103)/SUM($F$98:$F$103),"")</f>
        <v/>
      </c>
      <c r="L106" s="1466" t="s">
        <v>1359</v>
      </c>
      <c r="M106" s="1930"/>
      <c r="N106" s="1931"/>
      <c r="O106" s="686"/>
      <c r="P106" s="791"/>
      <c r="R106" s="750"/>
      <c r="S106" s="750"/>
    </row>
    <row r="107" spans="1:19" ht="18" hidden="1" outlineLevel="2" x14ac:dyDescent="0.3">
      <c r="B107" s="792"/>
      <c r="C107" s="16"/>
      <c r="D107" s="715" t="s">
        <v>1503</v>
      </c>
      <c r="E107" s="16"/>
      <c r="F107" s="16"/>
      <c r="G107" s="16"/>
      <c r="H107" s="690"/>
      <c r="I107" s="16"/>
      <c r="J107" s="16"/>
      <c r="K107" s="784"/>
      <c r="L107" s="1474" t="s">
        <v>505</v>
      </c>
      <c r="M107" s="720"/>
      <c r="N107" s="799"/>
      <c r="O107" s="686"/>
      <c r="P107" s="791"/>
    </row>
    <row r="108" spans="1:19" ht="16.5" hidden="1" outlineLevel="2" x14ac:dyDescent="0.3">
      <c r="B108" s="792"/>
      <c r="C108" s="16"/>
      <c r="D108" s="715" t="s">
        <v>1210</v>
      </c>
      <c r="E108" s="254"/>
      <c r="F108" s="254"/>
      <c r="G108" s="16"/>
      <c r="H108" s="16"/>
      <c r="I108" s="16"/>
      <c r="J108" s="16"/>
      <c r="K108" s="471"/>
      <c r="L108" s="1384" t="s">
        <v>13</v>
      </c>
      <c r="M108" s="574"/>
      <c r="N108" s="793"/>
      <c r="O108" s="686"/>
      <c r="P108" s="791"/>
    </row>
    <row r="109" spans="1:19" s="19" customFormat="1" hidden="1" outlineLevel="2" x14ac:dyDescent="0.25">
      <c r="B109" s="802"/>
      <c r="C109" s="385"/>
      <c r="D109" s="813"/>
      <c r="E109" s="408"/>
      <c r="F109" s="408"/>
      <c r="G109" s="385"/>
      <c r="H109" s="385"/>
      <c r="I109" s="385"/>
      <c r="J109" s="385"/>
      <c r="K109" s="716"/>
      <c r="L109" s="30"/>
      <c r="M109" s="385"/>
      <c r="N109" s="798"/>
      <c r="O109" s="422"/>
      <c r="P109" s="794"/>
    </row>
    <row r="110" spans="1:19" hidden="1" outlineLevel="2" x14ac:dyDescent="0.25">
      <c r="B110" s="792"/>
      <c r="C110" s="16"/>
      <c r="D110" s="691" t="s">
        <v>1</v>
      </c>
      <c r="E110" s="16"/>
      <c r="F110" s="16"/>
      <c r="G110" s="16"/>
      <c r="H110" s="16"/>
      <c r="I110" s="16"/>
      <c r="J110" s="16"/>
      <c r="K110" s="16"/>
      <c r="L110" s="16"/>
      <c r="M110" s="16"/>
      <c r="N110" s="796"/>
      <c r="O110" s="686"/>
      <c r="P110" s="791"/>
    </row>
    <row r="111" spans="1:19" hidden="1" outlineLevel="2" x14ac:dyDescent="0.25">
      <c r="B111" s="792"/>
      <c r="C111" s="16"/>
      <c r="D111" s="832" t="s">
        <v>1386</v>
      </c>
      <c r="E111" s="16"/>
      <c r="F111" s="16"/>
      <c r="G111" s="16"/>
      <c r="H111" s="16"/>
      <c r="I111" s="16"/>
      <c r="J111" s="16"/>
      <c r="K111" s="16"/>
      <c r="L111" s="16"/>
      <c r="M111" s="16"/>
      <c r="N111" s="796"/>
      <c r="O111" s="686"/>
      <c r="P111" s="791"/>
    </row>
    <row r="112" spans="1:19" ht="16.5" hidden="1" outlineLevel="2" x14ac:dyDescent="0.3">
      <c r="A112" s="607"/>
      <c r="B112" s="792"/>
      <c r="C112" s="16"/>
      <c r="D112" s="686"/>
      <c r="E112" s="692" t="s">
        <v>999</v>
      </c>
      <c r="F112" s="693" t="s">
        <v>1351</v>
      </c>
      <c r="G112" s="693" t="s">
        <v>1352</v>
      </c>
      <c r="H112" s="693" t="s">
        <v>1353</v>
      </c>
      <c r="I112" s="693" t="s">
        <v>1354</v>
      </c>
      <c r="J112" s="693" t="s">
        <v>1365</v>
      </c>
      <c r="K112" s="694" t="s">
        <v>1366</v>
      </c>
      <c r="L112" s="693" t="s">
        <v>1367</v>
      </c>
      <c r="M112" s="694" t="s">
        <v>1360</v>
      </c>
      <c r="N112" s="796"/>
      <c r="O112" s="686"/>
      <c r="P112" s="791"/>
    </row>
    <row r="113" spans="1:19" hidden="1" outlineLevel="2" x14ac:dyDescent="0.25">
      <c r="B113" s="792"/>
      <c r="C113" s="16"/>
      <c r="D113" s="686"/>
      <c r="E113" s="593">
        <v>1</v>
      </c>
      <c r="F113" s="704"/>
      <c r="G113" s="704"/>
      <c r="H113" s="704"/>
      <c r="I113" s="704"/>
      <c r="J113" s="704"/>
      <c r="K113" s="695">
        <f>F113*G113*H113*I113*J113</f>
        <v>0</v>
      </c>
      <c r="L113" s="704"/>
      <c r="M113" s="695">
        <f>F113*G113*H113*I113*L113</f>
        <v>0</v>
      </c>
      <c r="N113" s="796"/>
      <c r="O113" s="686"/>
      <c r="P113" s="791"/>
    </row>
    <row r="114" spans="1:19" hidden="1" outlineLevel="2" x14ac:dyDescent="0.25">
      <c r="B114" s="792"/>
      <c r="C114" s="16"/>
      <c r="D114" s="686"/>
      <c r="E114" s="593">
        <v>2</v>
      </c>
      <c r="F114" s="704"/>
      <c r="G114" s="704"/>
      <c r="H114" s="704"/>
      <c r="I114" s="704"/>
      <c r="J114" s="704"/>
      <c r="K114" s="695">
        <f t="shared" ref="K114:K117" si="6">F114*G114*H114*I114*J114</f>
        <v>0</v>
      </c>
      <c r="L114" s="704"/>
      <c r="M114" s="695">
        <f t="shared" ref="M114:M118" si="7">F114*G114*H114*I114*L114</f>
        <v>0</v>
      </c>
      <c r="N114" s="796"/>
      <c r="O114" s="686"/>
      <c r="P114" s="791"/>
    </row>
    <row r="115" spans="1:19" hidden="1" outlineLevel="2" x14ac:dyDescent="0.25">
      <c r="B115" s="792"/>
      <c r="C115" s="16"/>
      <c r="D115" s="686"/>
      <c r="E115" s="593">
        <v>3</v>
      </c>
      <c r="F115" s="704"/>
      <c r="G115" s="704"/>
      <c r="H115" s="704"/>
      <c r="I115" s="704"/>
      <c r="J115" s="704"/>
      <c r="K115" s="695">
        <f t="shared" si="6"/>
        <v>0</v>
      </c>
      <c r="L115" s="704"/>
      <c r="M115" s="695">
        <f t="shared" si="7"/>
        <v>0</v>
      </c>
      <c r="N115" s="796"/>
      <c r="O115" s="686"/>
      <c r="P115" s="791"/>
    </row>
    <row r="116" spans="1:19" hidden="1" outlineLevel="2" x14ac:dyDescent="0.25">
      <c r="B116" s="792"/>
      <c r="C116" s="16"/>
      <c r="D116" s="686"/>
      <c r="E116" s="593">
        <v>4</v>
      </c>
      <c r="F116" s="704"/>
      <c r="G116" s="704"/>
      <c r="H116" s="704"/>
      <c r="I116" s="704"/>
      <c r="J116" s="704"/>
      <c r="K116" s="695">
        <f t="shared" si="6"/>
        <v>0</v>
      </c>
      <c r="L116" s="704"/>
      <c r="M116" s="695">
        <f t="shared" si="7"/>
        <v>0</v>
      </c>
      <c r="N116" s="796"/>
      <c r="O116" s="686"/>
      <c r="P116" s="791"/>
    </row>
    <row r="117" spans="1:19" hidden="1" outlineLevel="2" x14ac:dyDescent="0.25">
      <c r="B117" s="792"/>
      <c r="C117" s="16"/>
      <c r="D117" s="686"/>
      <c r="E117" s="593">
        <v>5</v>
      </c>
      <c r="F117" s="704"/>
      <c r="G117" s="704"/>
      <c r="H117" s="704"/>
      <c r="I117" s="704"/>
      <c r="J117" s="704"/>
      <c r="K117" s="695">
        <f t="shared" si="6"/>
        <v>0</v>
      </c>
      <c r="L117" s="704"/>
      <c r="M117" s="695">
        <f t="shared" si="7"/>
        <v>0</v>
      </c>
      <c r="N117" s="796"/>
      <c r="O117" s="686"/>
      <c r="P117" s="791"/>
    </row>
    <row r="118" spans="1:19" hidden="1" outlineLevel="2" x14ac:dyDescent="0.25">
      <c r="B118" s="792"/>
      <c r="C118" s="16"/>
      <c r="D118" s="686"/>
      <c r="E118" s="593">
        <v>6</v>
      </c>
      <c r="F118" s="704"/>
      <c r="G118" s="704"/>
      <c r="H118" s="704"/>
      <c r="I118" s="704"/>
      <c r="J118" s="704"/>
      <c r="K118" s="592"/>
      <c r="L118" s="704"/>
      <c r="M118" s="695">
        <f t="shared" si="7"/>
        <v>0</v>
      </c>
      <c r="N118" s="796"/>
      <c r="O118" s="686"/>
      <c r="P118" s="791"/>
    </row>
    <row r="119" spans="1:19" hidden="1" outlineLevel="2" x14ac:dyDescent="0.25">
      <c r="B119" s="792"/>
      <c r="C119" s="16"/>
      <c r="D119" s="686"/>
      <c r="E119" s="16"/>
      <c r="F119" s="16"/>
      <c r="G119" s="16"/>
      <c r="H119" s="16"/>
      <c r="I119" s="16"/>
      <c r="J119" s="16"/>
      <c r="K119" s="16"/>
      <c r="L119" s="16"/>
      <c r="M119" s="16"/>
      <c r="N119" s="796"/>
      <c r="O119" s="686"/>
      <c r="P119" s="791"/>
    </row>
    <row r="120" spans="1:19" ht="15" hidden="1" customHeight="1" outlineLevel="2" x14ac:dyDescent="0.25">
      <c r="A120" s="750"/>
      <c r="B120" s="792"/>
      <c r="C120" s="16"/>
      <c r="D120" s="1950" t="s">
        <v>1569</v>
      </c>
      <c r="E120" s="1571"/>
      <c r="F120" s="1571"/>
      <c r="G120" s="1571"/>
      <c r="H120" s="1571"/>
      <c r="I120" s="1571"/>
      <c r="J120" s="1571"/>
      <c r="K120" s="759" t="str">
        <f>IFERROR(SUM($K$113:$K$118)/SUM($F$113:$F$118),"")</f>
        <v/>
      </c>
      <c r="L120" s="1476" t="s">
        <v>1359</v>
      </c>
      <c r="M120" s="1930"/>
      <c r="N120" s="1931"/>
      <c r="O120" s="686"/>
      <c r="P120" s="791"/>
      <c r="R120" s="750"/>
      <c r="S120" s="750"/>
    </row>
    <row r="121" spans="1:19" ht="30.75" hidden="1" customHeight="1" outlineLevel="2" x14ac:dyDescent="0.25">
      <c r="A121" s="750"/>
      <c r="B121" s="792"/>
      <c r="C121" s="16"/>
      <c r="D121" s="1950" t="s">
        <v>1379</v>
      </c>
      <c r="E121" s="1571"/>
      <c r="F121" s="1571"/>
      <c r="G121" s="1571"/>
      <c r="H121" s="1571"/>
      <c r="I121" s="1571"/>
      <c r="J121" s="1571"/>
      <c r="K121" s="789" t="str">
        <f>IFERROR(SUM($M$113:$M$118)/SUM($F$113:$F$118),"")</f>
        <v/>
      </c>
      <c r="L121" s="1466" t="s">
        <v>1359</v>
      </c>
      <c r="M121" s="1930"/>
      <c r="N121" s="1931"/>
      <c r="O121" s="686"/>
      <c r="P121" s="791"/>
      <c r="R121" s="750"/>
      <c r="S121" s="750"/>
    </row>
    <row r="122" spans="1:19" ht="18" hidden="1" outlineLevel="2" x14ac:dyDescent="0.3">
      <c r="B122" s="792"/>
      <c r="C122" s="16"/>
      <c r="D122" s="715" t="s">
        <v>1503</v>
      </c>
      <c r="E122" s="16"/>
      <c r="F122" s="16"/>
      <c r="G122" s="16"/>
      <c r="H122" s="690"/>
      <c r="I122" s="16"/>
      <c r="J122" s="16"/>
      <c r="K122" s="788"/>
      <c r="L122" s="1474" t="s">
        <v>505</v>
      </c>
      <c r="M122" s="720"/>
      <c r="N122" s="799"/>
      <c r="O122" s="686"/>
      <c r="P122" s="791"/>
    </row>
    <row r="123" spans="1:19" ht="16.5" hidden="1" outlineLevel="2" x14ac:dyDescent="0.3">
      <c r="B123" s="792"/>
      <c r="C123" s="16"/>
      <c r="D123" s="715" t="s">
        <v>1210</v>
      </c>
      <c r="E123" s="254"/>
      <c r="F123" s="254"/>
      <c r="G123" s="16"/>
      <c r="H123" s="16"/>
      <c r="I123" s="16"/>
      <c r="J123" s="16"/>
      <c r="K123" s="471"/>
      <c r="L123" s="1384" t="s">
        <v>13</v>
      </c>
      <c r="M123" s="574"/>
      <c r="N123" s="793"/>
      <c r="O123" s="686"/>
      <c r="P123" s="791"/>
    </row>
    <row r="124" spans="1:19" hidden="1" outlineLevel="2" x14ac:dyDescent="0.25">
      <c r="B124" s="792"/>
      <c r="C124" s="16"/>
      <c r="D124" s="715"/>
      <c r="E124" s="254"/>
      <c r="F124" s="254"/>
      <c r="G124" s="16"/>
      <c r="H124" s="16"/>
      <c r="I124" s="16"/>
      <c r="J124" s="16"/>
      <c r="K124" s="717"/>
      <c r="L124" s="237"/>
      <c r="M124" s="16"/>
      <c r="N124" s="796"/>
      <c r="O124" s="686"/>
      <c r="P124" s="791"/>
    </row>
    <row r="125" spans="1:19" hidden="1" outlineLevel="2" x14ac:dyDescent="0.25">
      <c r="B125" s="792"/>
      <c r="C125" s="16"/>
      <c r="D125" s="691" t="s">
        <v>2</v>
      </c>
      <c r="E125" s="16"/>
      <c r="F125" s="16"/>
      <c r="G125" s="16"/>
      <c r="H125" s="16"/>
      <c r="I125" s="16"/>
      <c r="J125" s="16"/>
      <c r="K125" s="16"/>
      <c r="L125" s="16"/>
      <c r="M125" s="16"/>
      <c r="N125" s="796"/>
      <c r="O125" s="686"/>
      <c r="P125" s="791"/>
    </row>
    <row r="126" spans="1:19" hidden="1" outlineLevel="2" x14ac:dyDescent="0.25">
      <c r="B126" s="792"/>
      <c r="C126" s="16"/>
      <c r="D126" s="832" t="s">
        <v>1386</v>
      </c>
      <c r="E126" s="16"/>
      <c r="F126" s="16"/>
      <c r="G126" s="16"/>
      <c r="H126" s="16"/>
      <c r="I126" s="16"/>
      <c r="J126" s="16"/>
      <c r="K126" s="16"/>
      <c r="L126" s="16"/>
      <c r="M126" s="16"/>
      <c r="N126" s="796"/>
      <c r="O126" s="686"/>
      <c r="P126" s="791"/>
    </row>
    <row r="127" spans="1:19" ht="16.5" hidden="1" outlineLevel="2" x14ac:dyDescent="0.3">
      <c r="B127" s="792"/>
      <c r="C127" s="16"/>
      <c r="D127" s="686"/>
      <c r="E127" s="692" t="s">
        <v>999</v>
      </c>
      <c r="F127" s="693" t="s">
        <v>1351</v>
      </c>
      <c r="G127" s="693" t="s">
        <v>1352</v>
      </c>
      <c r="H127" s="693" t="s">
        <v>1353</v>
      </c>
      <c r="I127" s="693" t="s">
        <v>1354</v>
      </c>
      <c r="J127" s="693" t="s">
        <v>1007</v>
      </c>
      <c r="K127" s="694" t="s">
        <v>1368</v>
      </c>
      <c r="L127" s="693" t="s">
        <v>1367</v>
      </c>
      <c r="M127" s="694" t="s">
        <v>1369</v>
      </c>
      <c r="N127" s="796"/>
      <c r="O127" s="686"/>
      <c r="P127" s="791"/>
    </row>
    <row r="128" spans="1:19" hidden="1" outlineLevel="2" x14ac:dyDescent="0.25">
      <c r="B128" s="792"/>
      <c r="C128" s="16"/>
      <c r="D128" s="686"/>
      <c r="E128" s="593">
        <v>1</v>
      </c>
      <c r="F128" s="704"/>
      <c r="G128" s="704"/>
      <c r="H128" s="704"/>
      <c r="I128" s="704"/>
      <c r="J128" s="704"/>
      <c r="K128" s="695">
        <f>F128*G128*H128*I128*J128</f>
        <v>0</v>
      </c>
      <c r="L128" s="704"/>
      <c r="M128" s="695">
        <f>F128*G128*H128*I128*L128</f>
        <v>0</v>
      </c>
      <c r="N128" s="796"/>
      <c r="O128" s="686"/>
      <c r="P128" s="791"/>
    </row>
    <row r="129" spans="1:19" hidden="1" outlineLevel="2" x14ac:dyDescent="0.25">
      <c r="B129" s="792"/>
      <c r="C129" s="16"/>
      <c r="D129" s="686"/>
      <c r="E129" s="593">
        <v>2</v>
      </c>
      <c r="F129" s="704"/>
      <c r="G129" s="704"/>
      <c r="H129" s="704"/>
      <c r="I129" s="704"/>
      <c r="J129" s="704"/>
      <c r="K129" s="695">
        <f>F129*G129*H129*I129*J129</f>
        <v>0</v>
      </c>
      <c r="L129" s="704"/>
      <c r="M129" s="695">
        <f t="shared" ref="M129:M132" si="8">F129*G129*H129*I129*L129</f>
        <v>0</v>
      </c>
      <c r="N129" s="796"/>
      <c r="O129" s="686"/>
      <c r="P129" s="791"/>
    </row>
    <row r="130" spans="1:19" hidden="1" outlineLevel="2" x14ac:dyDescent="0.25">
      <c r="B130" s="792"/>
      <c r="C130" s="16"/>
      <c r="D130" s="686"/>
      <c r="E130" s="593">
        <v>3</v>
      </c>
      <c r="F130" s="704"/>
      <c r="G130" s="704"/>
      <c r="H130" s="704"/>
      <c r="I130" s="704"/>
      <c r="J130" s="704"/>
      <c r="K130" s="695">
        <f t="shared" ref="K130:K132" si="9">F130*G130*H130*I130*J130</f>
        <v>0</v>
      </c>
      <c r="L130" s="704"/>
      <c r="M130" s="695">
        <f t="shared" si="8"/>
        <v>0</v>
      </c>
      <c r="N130" s="796"/>
      <c r="O130" s="686"/>
      <c r="P130" s="791"/>
    </row>
    <row r="131" spans="1:19" hidden="1" outlineLevel="2" x14ac:dyDescent="0.25">
      <c r="B131" s="792"/>
      <c r="C131" s="16"/>
      <c r="D131" s="686"/>
      <c r="E131" s="593">
        <v>4</v>
      </c>
      <c r="F131" s="704"/>
      <c r="G131" s="704"/>
      <c r="H131" s="704"/>
      <c r="I131" s="704"/>
      <c r="J131" s="704"/>
      <c r="K131" s="695">
        <f t="shared" si="9"/>
        <v>0</v>
      </c>
      <c r="L131" s="704"/>
      <c r="M131" s="695">
        <f t="shared" si="8"/>
        <v>0</v>
      </c>
      <c r="N131" s="796"/>
      <c r="O131" s="686"/>
      <c r="P131" s="791"/>
    </row>
    <row r="132" spans="1:19" hidden="1" outlineLevel="2" x14ac:dyDescent="0.25">
      <c r="B132" s="792"/>
      <c r="C132" s="16"/>
      <c r="D132" s="686"/>
      <c r="E132" s="593">
        <v>5</v>
      </c>
      <c r="F132" s="704"/>
      <c r="G132" s="704"/>
      <c r="H132" s="704"/>
      <c r="I132" s="704"/>
      <c r="J132" s="704"/>
      <c r="K132" s="695">
        <f t="shared" si="9"/>
        <v>0</v>
      </c>
      <c r="L132" s="704"/>
      <c r="M132" s="695">
        <f t="shared" si="8"/>
        <v>0</v>
      </c>
      <c r="N132" s="796"/>
      <c r="O132" s="686"/>
      <c r="P132" s="791"/>
    </row>
    <row r="133" spans="1:19" hidden="1" outlineLevel="2" x14ac:dyDescent="0.25">
      <c r="B133" s="792"/>
      <c r="C133" s="16"/>
      <c r="D133" s="686"/>
      <c r="E133" s="593">
        <v>6</v>
      </c>
      <c r="F133" s="704"/>
      <c r="G133" s="704"/>
      <c r="H133" s="704"/>
      <c r="I133" s="704"/>
      <c r="J133" s="704"/>
      <c r="K133" s="592"/>
      <c r="L133" s="704"/>
      <c r="M133" s="592"/>
      <c r="N133" s="796"/>
      <c r="O133" s="686"/>
      <c r="P133" s="791"/>
    </row>
    <row r="134" spans="1:19" hidden="1" outlineLevel="2" x14ac:dyDescent="0.25">
      <c r="B134" s="792"/>
      <c r="C134" s="16"/>
      <c r="D134" s="686"/>
      <c r="E134" s="16"/>
      <c r="F134" s="16"/>
      <c r="G134" s="16"/>
      <c r="H134" s="16"/>
      <c r="I134" s="16"/>
      <c r="J134" s="16"/>
      <c r="K134" s="16"/>
      <c r="L134" s="16"/>
      <c r="M134" s="16"/>
      <c r="N134" s="796"/>
      <c r="O134" s="16"/>
      <c r="P134" s="791"/>
    </row>
    <row r="135" spans="1:19" s="698" customFormat="1" ht="16.5" hidden="1" outlineLevel="2" x14ac:dyDescent="0.3">
      <c r="A135" s="204"/>
      <c r="B135" s="805"/>
      <c r="C135" s="391"/>
      <c r="D135" s="736" t="s">
        <v>1380</v>
      </c>
      <c r="E135" s="391"/>
      <c r="F135" s="391"/>
      <c r="G135" s="391"/>
      <c r="H135" s="391"/>
      <c r="I135" s="391"/>
      <c r="J135" s="391"/>
      <c r="K135" s="759" t="str">
        <f>IFERROR(SUM(K128:K133)/SUM(F128:F133),"")</f>
        <v/>
      </c>
      <c r="L135" s="1476" t="s">
        <v>1359</v>
      </c>
      <c r="M135" s="391"/>
      <c r="N135" s="782"/>
      <c r="O135" s="391"/>
      <c r="P135" s="800"/>
      <c r="R135" s="204"/>
      <c r="S135" s="204"/>
    </row>
    <row r="136" spans="1:19" ht="30.75" hidden="1" customHeight="1" outlineLevel="2" x14ac:dyDescent="0.25">
      <c r="A136" s="750"/>
      <c r="B136" s="792"/>
      <c r="C136" s="16"/>
      <c r="D136" s="1950" t="s">
        <v>1381</v>
      </c>
      <c r="E136" s="1571"/>
      <c r="F136" s="1571"/>
      <c r="G136" s="1571"/>
      <c r="H136" s="1571"/>
      <c r="I136" s="1571"/>
      <c r="J136" s="1571"/>
      <c r="K136" s="789" t="str">
        <f>IFERROR(SUM(M128:M133)/SUM(F128:F133),"")</f>
        <v/>
      </c>
      <c r="L136" s="1466" t="s">
        <v>1359</v>
      </c>
      <c r="M136" s="1930"/>
      <c r="N136" s="1931"/>
      <c r="O136" s="16"/>
      <c r="P136" s="791"/>
      <c r="R136" s="750"/>
      <c r="S136" s="750"/>
    </row>
    <row r="137" spans="1:19" ht="18" hidden="1" outlineLevel="2" x14ac:dyDescent="0.3">
      <c r="B137" s="792"/>
      <c r="C137" s="16"/>
      <c r="D137" s="715" t="s">
        <v>1503</v>
      </c>
      <c r="E137" s="16"/>
      <c r="F137" s="16"/>
      <c r="G137" s="16"/>
      <c r="H137" s="690"/>
      <c r="I137" s="16"/>
      <c r="J137" s="16"/>
      <c r="K137" s="784"/>
      <c r="L137" s="1474" t="s">
        <v>505</v>
      </c>
      <c r="M137" s="720"/>
      <c r="N137" s="799"/>
      <c r="O137" s="16"/>
      <c r="P137" s="791"/>
    </row>
    <row r="138" spans="1:19" ht="16.5" hidden="1" outlineLevel="2" x14ac:dyDescent="0.3">
      <c r="B138" s="792"/>
      <c r="C138" s="16"/>
      <c r="D138" s="715" t="s">
        <v>1210</v>
      </c>
      <c r="E138" s="254"/>
      <c r="F138" s="254"/>
      <c r="G138" s="16"/>
      <c r="H138" s="16"/>
      <c r="I138" s="16"/>
      <c r="J138" s="16"/>
      <c r="K138" s="1110"/>
      <c r="L138" s="1517" t="s">
        <v>13</v>
      </c>
      <c r="M138" s="1518"/>
      <c r="N138" s="1519"/>
      <c r="O138" s="16"/>
      <c r="P138" s="791"/>
    </row>
    <row r="139" spans="1:19" ht="15.75" hidden="1" outlineLevel="1" collapsed="1" x14ac:dyDescent="0.25">
      <c r="B139" s="1511"/>
      <c r="C139" s="1512"/>
      <c r="D139" s="1512"/>
      <c r="E139" s="1512"/>
      <c r="F139" s="1512"/>
      <c r="G139" s="1512"/>
      <c r="H139" s="1512"/>
      <c r="I139" s="1512"/>
      <c r="J139" s="1512"/>
      <c r="K139" s="1512"/>
      <c r="L139" s="1520"/>
      <c r="M139" s="1520"/>
      <c r="N139" s="1512"/>
      <c r="O139" s="1512"/>
      <c r="P139" s="1514"/>
    </row>
    <row r="140" spans="1:19" ht="15.75" hidden="1" outlineLevel="1" x14ac:dyDescent="0.25">
      <c r="A140" s="4"/>
      <c r="B140" s="1941" t="s">
        <v>1137</v>
      </c>
      <c r="C140" s="1942"/>
      <c r="D140" s="1942"/>
      <c r="E140" s="1942"/>
      <c r="F140" s="1942"/>
      <c r="G140" s="1942"/>
      <c r="H140" s="1942"/>
      <c r="I140" s="1942"/>
      <c r="J140" s="1942"/>
      <c r="K140" s="1942"/>
      <c r="L140" s="1942"/>
      <c r="M140" s="1942"/>
      <c r="N140" s="1942"/>
      <c r="O140" s="1942"/>
      <c r="P140" s="1943"/>
    </row>
    <row r="141" spans="1:19" hidden="1" outlineLevel="1" x14ac:dyDescent="0.25">
      <c r="A141" s="4"/>
      <c r="B141" s="1511"/>
      <c r="C141" s="1512"/>
      <c r="D141" s="1512"/>
      <c r="E141" s="1512"/>
      <c r="F141" s="1512"/>
      <c r="G141" s="1513"/>
      <c r="H141" s="1512"/>
      <c r="I141" s="1512"/>
      <c r="J141" s="1512"/>
      <c r="K141" s="1512"/>
      <c r="L141" s="1512"/>
      <c r="M141" s="1512"/>
      <c r="N141" s="1512"/>
      <c r="O141" s="1512"/>
      <c r="P141" s="1514"/>
    </row>
    <row r="142" spans="1:19" ht="16.5" hidden="1" outlineLevel="1" thickBot="1" x14ac:dyDescent="0.3">
      <c r="A142" s="607"/>
      <c r="B142" s="51"/>
      <c r="C142" s="397" t="s">
        <v>0</v>
      </c>
      <c r="D142" s="397"/>
      <c r="E142" s="397"/>
      <c r="F142" s="750"/>
      <c r="G142" s="397"/>
      <c r="H142" s="397" t="s">
        <v>1</v>
      </c>
      <c r="I142" s="750"/>
      <c r="J142" s="397"/>
      <c r="K142" s="397"/>
      <c r="L142" s="750"/>
      <c r="M142" s="397" t="s">
        <v>2</v>
      </c>
      <c r="N142" s="397"/>
      <c r="O142" s="397"/>
      <c r="P142" s="4"/>
    </row>
    <row r="143" spans="1:19" ht="15.75" hidden="1" outlineLevel="1" x14ac:dyDescent="0.25">
      <c r="A143" s="392"/>
      <c r="B143" s="51"/>
      <c r="C143" s="37" t="s">
        <v>1203</v>
      </c>
      <c r="D143" s="1944" t="str">
        <f>IFERROR(((LN(((K93/100)*(K105-K106)*31.7098*(SUM(F98:F103))/K91))-1.57)/0.1),"")</f>
        <v/>
      </c>
      <c r="E143" s="1944"/>
      <c r="F143" s="187" t="s">
        <v>1299</v>
      </c>
      <c r="G143" s="397"/>
      <c r="H143" s="767" t="s">
        <v>1203</v>
      </c>
      <c r="I143" s="1946" t="str">
        <f>IFERROR(((LN(((K93/100)*(K120-K121)*31.7098*(SUM(F113:F118))/K91))-1.57)/0.1),"")</f>
        <v/>
      </c>
      <c r="J143" s="1946"/>
      <c r="K143" s="814" t="s">
        <v>1299</v>
      </c>
      <c r="L143" s="750"/>
      <c r="M143" s="393" t="s">
        <v>1203</v>
      </c>
      <c r="N143" s="1203" t="str">
        <f>IFERROR((((LN(((K93/100)*(K135-K136)*31.7098*(SUM(F128:F133))/K91))-1.57)/0.1)*-1),"")</f>
        <v/>
      </c>
      <c r="O143" s="394" t="s">
        <v>1299</v>
      </c>
      <c r="P143" s="4"/>
    </row>
    <row r="144" spans="1:19" ht="16.5" hidden="1" outlineLevel="1" thickBot="1" x14ac:dyDescent="0.3">
      <c r="A144" s="392"/>
      <c r="B144" s="51"/>
      <c r="C144" s="188" t="s">
        <v>504</v>
      </c>
      <c r="D144" s="1945">
        <f>K92*K107+K108</f>
        <v>0</v>
      </c>
      <c r="E144" s="1945"/>
      <c r="F144" s="718" t="s">
        <v>13</v>
      </c>
      <c r="G144" s="397"/>
      <c r="H144" s="815" t="s">
        <v>504</v>
      </c>
      <c r="I144" s="1947">
        <f>K92*K122+K123</f>
        <v>0</v>
      </c>
      <c r="J144" s="1947"/>
      <c r="K144" s="816" t="s">
        <v>13</v>
      </c>
      <c r="L144" s="750"/>
      <c r="M144" s="395" t="s">
        <v>504</v>
      </c>
      <c r="N144" s="1202">
        <f>K92*K137+K138</f>
        <v>0</v>
      </c>
      <c r="O144" s="719" t="s">
        <v>13</v>
      </c>
      <c r="P144" s="4"/>
    </row>
    <row r="145" spans="1:16" collapsed="1" x14ac:dyDescent="0.25">
      <c r="A145" s="607"/>
      <c r="B145" s="51"/>
      <c r="C145" s="750"/>
      <c r="D145" s="750"/>
      <c r="E145" s="750"/>
      <c r="F145" s="750"/>
      <c r="G145" s="750"/>
      <c r="H145" s="750"/>
      <c r="I145" s="750"/>
      <c r="J145" s="750"/>
      <c r="K145" s="750"/>
      <c r="L145" s="750"/>
      <c r="M145" s="750"/>
      <c r="N145" s="750"/>
      <c r="O145" s="750"/>
      <c r="P145" s="4"/>
    </row>
    <row r="146" spans="1:16" ht="15.75" thickBot="1" x14ac:dyDescent="0.3">
      <c r="B146" s="806"/>
      <c r="C146" s="402"/>
      <c r="D146" s="402"/>
      <c r="E146" s="402"/>
      <c r="F146" s="402"/>
      <c r="G146" s="402"/>
      <c r="H146" s="402"/>
      <c r="I146" s="402"/>
      <c r="J146" s="402"/>
      <c r="K146" s="402"/>
      <c r="L146" s="402"/>
      <c r="M146" s="402"/>
      <c r="N146" s="402"/>
      <c r="O146" s="402"/>
      <c r="P146" s="807"/>
    </row>
    <row r="147" spans="1:16" ht="15.75" thickTop="1" x14ac:dyDescent="0.25"/>
  </sheetData>
  <mergeCells count="34">
    <mergeCell ref="M121:N121"/>
    <mergeCell ref="M136:N136"/>
    <mergeCell ref="B82:P82"/>
    <mergeCell ref="E74:F74"/>
    <mergeCell ref="K74:L74"/>
    <mergeCell ref="D86:J86"/>
    <mergeCell ref="M105:N105"/>
    <mergeCell ref="M106:N106"/>
    <mergeCell ref="D106:J106"/>
    <mergeCell ref="M120:N120"/>
    <mergeCell ref="D121:J121"/>
    <mergeCell ref="M85:N85"/>
    <mergeCell ref="D136:J136"/>
    <mergeCell ref="D120:J120"/>
    <mergeCell ref="M84:N84"/>
    <mergeCell ref="B140:P140"/>
    <mergeCell ref="D143:E143"/>
    <mergeCell ref="D144:E144"/>
    <mergeCell ref="I143:J143"/>
    <mergeCell ref="I144:J144"/>
    <mergeCell ref="C65:O65"/>
    <mergeCell ref="C80:O80"/>
    <mergeCell ref="B1:P1"/>
    <mergeCell ref="C3:N5"/>
    <mergeCell ref="B9:P9"/>
    <mergeCell ref="M53:N53"/>
    <mergeCell ref="M54:N54"/>
    <mergeCell ref="M32:N32"/>
    <mergeCell ref="D13:J13"/>
    <mergeCell ref="M33:N33"/>
    <mergeCell ref="M12:N12"/>
    <mergeCell ref="C7:O7"/>
    <mergeCell ref="M18:N18"/>
    <mergeCell ref="M19:N19"/>
  </mergeCells>
  <hyperlinks>
    <hyperlink ref="D23" location="Apoio_Erosão!A1" display="Veja Planilha &quot;Apoio_Erosão&quot; para fatores default de R, K e CP"/>
    <hyperlink ref="D44" location="Apoio_Erosão!A1" display="Veja Planilha &quot;Apoio_Erosão&quot; para fatores default de R, K e CP"/>
    <hyperlink ref="D96" location="Apoio_Erosão!A1" display="Veja Planilha &quot;Apoio_Erosão&quot; para fatores default de R, K e CP"/>
    <hyperlink ref="D126" location="Apoio_Erosão!A1" display="Veja Planilha &quot;Apoio_Erosão&quot; para fatores default de R, K e CP"/>
    <hyperlink ref="D111" location="Apoio_Erosão!A1" display="Veja Planilha &quot;Apoio_Erosão&quot; para fatores default de R, K e CP"/>
    <hyperlink ref="M12:N12" location="'Apoio_Regulação da Erosão'!E3" display="Veja a tabela de LS ou calcule abaixo."/>
    <hyperlink ref="M85:N85" location="'Apoio_Regulação da Erosão'!E3" display="Veja a tabela de LS ou calcule abaixo."/>
    <hyperlink ref="M18:N18" location="'Apoio_Regulação da Erosão'!F20" display="Veja como converter de unidades"/>
    <hyperlink ref="M19:N19" location="'Apoio_Regulação da Erosão'!F20" display="Veja como converter de unidades"/>
  </hyperlinks>
  <pageMargins left="0.511811024" right="0.511811024" top="0.78740157499999996" bottom="0.78740157499999996" header="0.31496062000000002" footer="0.31496062000000002"/>
  <pageSetup paperSize="9" orientation="portrait" r:id="rId1"/>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0" tint="-0.249977111117893"/>
  </sheetPr>
  <dimension ref="A1:S181"/>
  <sheetViews>
    <sheetView showGridLines="0" workbookViewId="0">
      <selection activeCell="A2" sqref="A2"/>
    </sheetView>
  </sheetViews>
  <sheetFormatPr defaultRowHeight="15" x14ac:dyDescent="0.25"/>
  <cols>
    <col min="1" max="1" width="32.7109375" style="12" customWidth="1"/>
    <col min="2" max="2" width="9.85546875" style="12" bestFit="1" customWidth="1"/>
    <col min="3" max="3" width="51.28515625" style="12" customWidth="1"/>
    <col min="4" max="4" width="24.28515625" style="12" customWidth="1"/>
    <col min="5" max="8" width="9.140625" style="12"/>
    <col min="9" max="9" width="11.5703125" style="12" customWidth="1"/>
    <col min="10" max="16384" width="9.140625" style="12"/>
  </cols>
  <sheetData>
    <row r="1" spans="1:19" ht="16.5" thickBot="1" x14ac:dyDescent="0.3">
      <c r="A1" s="1619" t="s">
        <v>1385</v>
      </c>
      <c r="B1" s="1619"/>
      <c r="C1" s="1619"/>
      <c r="D1" s="1619"/>
      <c r="E1" s="1619"/>
      <c r="F1" s="1619"/>
      <c r="G1" s="1619"/>
      <c r="H1" s="1619"/>
      <c r="I1" s="1619"/>
      <c r="J1" s="1619"/>
      <c r="K1" s="1619"/>
      <c r="L1" s="1619"/>
      <c r="M1" s="1619"/>
      <c r="N1" s="1620"/>
    </row>
    <row r="3" spans="1:19" x14ac:dyDescent="0.25">
      <c r="A3" s="823" t="s">
        <v>1382</v>
      </c>
      <c r="B3" s="823"/>
      <c r="C3" s="823"/>
      <c r="E3" s="823" t="s">
        <v>1456</v>
      </c>
      <c r="F3" s="823"/>
      <c r="G3" s="823"/>
      <c r="H3" s="823"/>
      <c r="I3" s="823"/>
      <c r="J3" s="823"/>
      <c r="K3" s="823"/>
      <c r="L3" s="823"/>
      <c r="M3" s="1065"/>
      <c r="N3" s="1065"/>
      <c r="O3" s="1065"/>
      <c r="P3" s="1065"/>
      <c r="Q3" s="1065"/>
      <c r="R3" s="1065"/>
      <c r="S3" s="1065"/>
    </row>
    <row r="4" spans="1:19" x14ac:dyDescent="0.25">
      <c r="A4" s="382" t="s">
        <v>1003</v>
      </c>
      <c r="B4" s="383" t="s">
        <v>1004</v>
      </c>
      <c r="C4" s="382" t="s">
        <v>1005</v>
      </c>
      <c r="E4" s="1"/>
      <c r="F4" s="1066" t="s">
        <v>1457</v>
      </c>
      <c r="G4" s="1066"/>
      <c r="H4" s="1066"/>
      <c r="I4" s="1066"/>
      <c r="J4" s="1066"/>
      <c r="K4" s="1066"/>
      <c r="L4" s="1066"/>
      <c r="M4" s="1066"/>
      <c r="N4" s="1066"/>
      <c r="O4" s="1066"/>
      <c r="P4" s="1066"/>
      <c r="Q4" s="1066"/>
      <c r="R4" s="1066"/>
      <c r="S4" s="1066"/>
    </row>
    <row r="5" spans="1:19" ht="30" x14ac:dyDescent="0.25">
      <c r="A5" s="13" t="s">
        <v>1010</v>
      </c>
      <c r="B5" s="384">
        <v>6738</v>
      </c>
      <c r="C5" s="13" t="s">
        <v>1011</v>
      </c>
      <c r="E5" s="1067" t="s">
        <v>1458</v>
      </c>
      <c r="F5" s="1068">
        <v>5</v>
      </c>
      <c r="G5" s="1068">
        <v>10</v>
      </c>
      <c r="H5" s="1068">
        <v>15</v>
      </c>
      <c r="I5" s="1068">
        <v>20</v>
      </c>
      <c r="J5" s="1068">
        <v>25</v>
      </c>
      <c r="K5" s="1068">
        <v>30</v>
      </c>
      <c r="L5" s="1068">
        <v>35</v>
      </c>
      <c r="M5" s="1068">
        <v>40</v>
      </c>
      <c r="N5" s="1068">
        <v>45</v>
      </c>
      <c r="O5" s="1068">
        <v>50</v>
      </c>
      <c r="P5" s="1068">
        <v>55</v>
      </c>
      <c r="Q5" s="1068">
        <v>60</v>
      </c>
      <c r="R5" s="1068">
        <v>80</v>
      </c>
      <c r="S5" s="1068">
        <v>100</v>
      </c>
    </row>
    <row r="6" spans="1:19" x14ac:dyDescent="0.25">
      <c r="A6" s="13" t="s">
        <v>1014</v>
      </c>
      <c r="B6" s="384">
        <v>7440</v>
      </c>
      <c r="C6" s="13" t="s">
        <v>1015</v>
      </c>
      <c r="E6" s="1061">
        <v>1</v>
      </c>
      <c r="F6" s="180">
        <v>0.03</v>
      </c>
      <c r="G6" s="180">
        <v>0.04</v>
      </c>
      <c r="H6" s="180">
        <v>0.05</v>
      </c>
      <c r="I6" s="180">
        <v>0.06</v>
      </c>
      <c r="J6" s="180">
        <v>7.0000000000000007E-2</v>
      </c>
      <c r="K6" s="180">
        <v>0.08</v>
      </c>
      <c r="L6" s="180">
        <v>0.09</v>
      </c>
      <c r="M6" s="180">
        <v>0.1</v>
      </c>
      <c r="N6" s="180">
        <v>0.11</v>
      </c>
      <c r="O6" s="180">
        <v>0.12</v>
      </c>
      <c r="P6" s="180">
        <v>0.12</v>
      </c>
      <c r="Q6" s="180">
        <v>0.13</v>
      </c>
      <c r="R6" s="180">
        <v>0.16</v>
      </c>
      <c r="S6" s="180">
        <v>0.18</v>
      </c>
    </row>
    <row r="7" spans="1:19" x14ac:dyDescent="0.25">
      <c r="A7" s="13" t="s">
        <v>1017</v>
      </c>
      <c r="B7" s="384">
        <v>7172</v>
      </c>
      <c r="C7" s="13" t="s">
        <v>1018</v>
      </c>
      <c r="E7" s="1061">
        <v>2</v>
      </c>
      <c r="F7" s="180">
        <v>0.06</v>
      </c>
      <c r="G7" s="180">
        <v>0.09</v>
      </c>
      <c r="H7" s="180">
        <v>0.12</v>
      </c>
      <c r="I7" s="180">
        <v>0.15</v>
      </c>
      <c r="J7" s="180">
        <v>0.17</v>
      </c>
      <c r="K7" s="180">
        <v>0.19</v>
      </c>
      <c r="L7" s="180">
        <v>0.21</v>
      </c>
      <c r="M7" s="180">
        <v>0.23</v>
      </c>
      <c r="N7" s="180">
        <v>0.25</v>
      </c>
      <c r="O7" s="180">
        <v>0.26</v>
      </c>
      <c r="P7" s="180">
        <v>0.28000000000000003</v>
      </c>
      <c r="Q7" s="180">
        <v>0.28999999999999998</v>
      </c>
      <c r="R7" s="180">
        <v>0.35</v>
      </c>
      <c r="S7" s="180">
        <v>0.41</v>
      </c>
    </row>
    <row r="8" spans="1:19" x14ac:dyDescent="0.25">
      <c r="A8" s="13" t="s">
        <v>1021</v>
      </c>
      <c r="B8" s="384">
        <v>7747</v>
      </c>
      <c r="C8" s="34" t="s">
        <v>1022</v>
      </c>
      <c r="E8" s="1061">
        <v>4</v>
      </c>
      <c r="F8" s="180">
        <v>0.14000000000000001</v>
      </c>
      <c r="G8" s="180">
        <v>0.22</v>
      </c>
      <c r="H8" s="180">
        <v>0.28000000000000003</v>
      </c>
      <c r="I8" s="180">
        <v>0.33</v>
      </c>
      <c r="J8" s="180">
        <v>0.38</v>
      </c>
      <c r="K8" s="180">
        <v>0.43</v>
      </c>
      <c r="L8" s="180">
        <v>0.47</v>
      </c>
      <c r="M8" s="180">
        <v>0.51</v>
      </c>
      <c r="N8" s="180">
        <v>0.55000000000000004</v>
      </c>
      <c r="O8" s="180">
        <v>0.59</v>
      </c>
      <c r="P8" s="180">
        <v>0.63</v>
      </c>
      <c r="Q8" s="180">
        <v>0.67</v>
      </c>
      <c r="R8" s="180">
        <v>0.8</v>
      </c>
      <c r="S8" s="180">
        <v>0.92</v>
      </c>
    </row>
    <row r="9" spans="1:19" x14ac:dyDescent="0.25">
      <c r="A9" s="13" t="s">
        <v>1025</v>
      </c>
      <c r="B9" s="384">
        <v>4626</v>
      </c>
      <c r="C9" s="13" t="s">
        <v>1026</v>
      </c>
      <c r="E9" s="1061">
        <v>6</v>
      </c>
      <c r="F9" s="180">
        <v>0.23</v>
      </c>
      <c r="G9" s="180">
        <v>0.35</v>
      </c>
      <c r="H9" s="180">
        <v>0.45</v>
      </c>
      <c r="I9" s="180">
        <v>0.54</v>
      </c>
      <c r="J9" s="180">
        <v>0.62</v>
      </c>
      <c r="K9" s="180">
        <v>0.69</v>
      </c>
      <c r="L9" s="180">
        <v>0.77</v>
      </c>
      <c r="M9" s="180">
        <v>0.83</v>
      </c>
      <c r="N9" s="180">
        <v>0.9</v>
      </c>
      <c r="O9" s="180">
        <v>0.96</v>
      </c>
      <c r="P9" s="180">
        <v>1.02</v>
      </c>
      <c r="Q9" s="180">
        <v>1.07</v>
      </c>
      <c r="R9" s="180">
        <v>1.29</v>
      </c>
      <c r="S9" s="180">
        <v>1.48</v>
      </c>
    </row>
    <row r="10" spans="1:19" x14ac:dyDescent="0.25">
      <c r="A10" s="13" t="s">
        <v>1029</v>
      </c>
      <c r="B10" s="384">
        <v>9705</v>
      </c>
      <c r="C10" s="13" t="s">
        <v>1026</v>
      </c>
      <c r="E10" s="1061">
        <v>8</v>
      </c>
      <c r="F10" s="180">
        <v>0.32</v>
      </c>
      <c r="G10" s="180">
        <v>0.49</v>
      </c>
      <c r="H10" s="180">
        <v>0.63</v>
      </c>
      <c r="I10" s="180">
        <v>0.76</v>
      </c>
      <c r="J10" s="180">
        <v>0.87</v>
      </c>
      <c r="K10" s="180">
        <v>0.98</v>
      </c>
      <c r="L10" s="180">
        <v>1.08</v>
      </c>
      <c r="M10" s="180">
        <v>1.17</v>
      </c>
      <c r="N10" s="180">
        <v>1.26</v>
      </c>
      <c r="O10" s="180">
        <v>1.34</v>
      </c>
      <c r="P10" s="180">
        <v>1.43</v>
      </c>
      <c r="Q10" s="180">
        <v>1.51</v>
      </c>
      <c r="R10" s="180">
        <v>1.81</v>
      </c>
      <c r="S10" s="180">
        <v>2.08</v>
      </c>
    </row>
    <row r="11" spans="1:19" x14ac:dyDescent="0.25">
      <c r="A11" s="385" t="s">
        <v>1031</v>
      </c>
      <c r="B11" s="384">
        <v>4865</v>
      </c>
      <c r="C11" s="385" t="s">
        <v>1032</v>
      </c>
      <c r="E11" s="1061">
        <v>10</v>
      </c>
      <c r="F11" s="180">
        <v>0.41</v>
      </c>
      <c r="G11" s="180">
        <v>0.64</v>
      </c>
      <c r="H11" s="180">
        <v>0.82</v>
      </c>
      <c r="I11" s="180">
        <v>0.98</v>
      </c>
      <c r="J11" s="180">
        <v>1.1299999999999999</v>
      </c>
      <c r="K11" s="180">
        <v>1.27</v>
      </c>
      <c r="L11" s="180">
        <v>1.4</v>
      </c>
      <c r="M11" s="180">
        <v>1.52</v>
      </c>
      <c r="N11" s="180">
        <v>1.64</v>
      </c>
      <c r="O11" s="180">
        <v>1.75</v>
      </c>
      <c r="P11" s="180">
        <v>1.86</v>
      </c>
      <c r="Q11" s="180">
        <v>1.96</v>
      </c>
      <c r="R11" s="180">
        <v>2.36</v>
      </c>
      <c r="S11" s="180">
        <v>2.71</v>
      </c>
    </row>
    <row r="12" spans="1:19" x14ac:dyDescent="0.25">
      <c r="A12" s="13" t="s">
        <v>1035</v>
      </c>
      <c r="B12" s="384">
        <v>5835</v>
      </c>
      <c r="C12" s="34" t="s">
        <v>1036</v>
      </c>
      <c r="E12" s="1061">
        <v>12</v>
      </c>
      <c r="F12" s="180">
        <v>0.51</v>
      </c>
      <c r="G12" s="1085">
        <v>0.79</v>
      </c>
      <c r="H12" s="180">
        <v>1.02</v>
      </c>
      <c r="I12" s="180">
        <v>1.22</v>
      </c>
      <c r="J12" s="180">
        <v>1.4</v>
      </c>
      <c r="K12" s="180">
        <v>1.57</v>
      </c>
      <c r="L12" s="180">
        <v>1.73</v>
      </c>
      <c r="M12" s="180">
        <v>1.89</v>
      </c>
      <c r="N12" s="180">
        <v>2.0299999999999998</v>
      </c>
      <c r="O12" s="180">
        <v>2.17</v>
      </c>
      <c r="P12" s="180">
        <v>2.2999999999999998</v>
      </c>
      <c r="Q12" s="180">
        <v>2.4300000000000002</v>
      </c>
      <c r="R12" s="180">
        <v>2.92</v>
      </c>
      <c r="S12" s="180">
        <v>3.36</v>
      </c>
    </row>
    <row r="13" spans="1:19" x14ac:dyDescent="0.25">
      <c r="A13" s="13" t="s">
        <v>1039</v>
      </c>
      <c r="B13" s="384">
        <v>5534</v>
      </c>
      <c r="C13" s="13" t="s">
        <v>1040</v>
      </c>
      <c r="E13" s="1061">
        <v>14</v>
      </c>
      <c r="F13" s="180">
        <v>0.61</v>
      </c>
      <c r="G13" s="180">
        <v>0.95</v>
      </c>
      <c r="H13" s="180">
        <v>1.22</v>
      </c>
      <c r="I13" s="180">
        <v>1.46</v>
      </c>
      <c r="J13" s="180">
        <v>1.68</v>
      </c>
      <c r="K13" s="180">
        <v>1.89</v>
      </c>
      <c r="L13" s="180">
        <v>2.08</v>
      </c>
      <c r="M13" s="180">
        <v>2.2599999999999998</v>
      </c>
      <c r="N13" s="180">
        <v>2.4300000000000002</v>
      </c>
      <c r="O13" s="180">
        <v>2.6</v>
      </c>
      <c r="P13" s="180">
        <v>2.76</v>
      </c>
      <c r="Q13" s="180">
        <v>2.92</v>
      </c>
      <c r="R13" s="180">
        <v>3.51</v>
      </c>
      <c r="S13" s="180">
        <v>4.03</v>
      </c>
    </row>
    <row r="14" spans="1:19" x14ac:dyDescent="0.25">
      <c r="A14" s="13" t="s">
        <v>1043</v>
      </c>
      <c r="B14" s="384">
        <v>11160</v>
      </c>
      <c r="C14" s="13" t="s">
        <v>1040</v>
      </c>
      <c r="E14" s="1061">
        <v>16</v>
      </c>
      <c r="F14" s="180">
        <v>0.71</v>
      </c>
      <c r="G14" s="180">
        <v>1.1100000000000001</v>
      </c>
      <c r="H14" s="180">
        <v>1.43</v>
      </c>
      <c r="I14" s="180">
        <v>1.71</v>
      </c>
      <c r="J14" s="180">
        <v>1.97</v>
      </c>
      <c r="K14" s="180">
        <v>2.21</v>
      </c>
      <c r="L14" s="180">
        <v>2.44</v>
      </c>
      <c r="M14" s="180">
        <v>2.65</v>
      </c>
      <c r="N14" s="180">
        <v>2.85</v>
      </c>
      <c r="O14" s="180">
        <v>3.05</v>
      </c>
      <c r="P14" s="180">
        <v>3.23</v>
      </c>
      <c r="Q14" s="180">
        <v>3.42</v>
      </c>
      <c r="R14" s="180">
        <v>4.0999999999999996</v>
      </c>
      <c r="S14" s="180">
        <v>4.72</v>
      </c>
    </row>
    <row r="15" spans="1:19" x14ac:dyDescent="0.25">
      <c r="A15" s="13" t="s">
        <v>1046</v>
      </c>
      <c r="B15" s="384">
        <v>5694</v>
      </c>
      <c r="C15" s="34" t="s">
        <v>1047</v>
      </c>
      <c r="E15" s="1061">
        <v>18</v>
      </c>
      <c r="F15" s="180">
        <v>0.82</v>
      </c>
      <c r="G15" s="180">
        <v>1.27</v>
      </c>
      <c r="H15" s="180">
        <v>1.64</v>
      </c>
      <c r="I15" s="180">
        <v>1.97</v>
      </c>
      <c r="J15" s="180">
        <v>2.27</v>
      </c>
      <c r="K15" s="180">
        <v>2.54</v>
      </c>
      <c r="L15" s="180">
        <v>2.8</v>
      </c>
      <c r="M15" s="180">
        <v>3.04</v>
      </c>
      <c r="N15" s="180">
        <v>3.27</v>
      </c>
      <c r="O15" s="180">
        <v>3.5</v>
      </c>
      <c r="P15" s="180">
        <v>3.72</v>
      </c>
      <c r="Q15" s="180">
        <v>3.93</v>
      </c>
      <c r="R15" s="180">
        <v>4.71</v>
      </c>
      <c r="S15" s="180">
        <v>5.43</v>
      </c>
    </row>
    <row r="16" spans="1:19" x14ac:dyDescent="0.25">
      <c r="A16" s="13" t="s">
        <v>1050</v>
      </c>
      <c r="B16" s="384">
        <v>3772</v>
      </c>
      <c r="C16" s="13" t="s">
        <v>1051</v>
      </c>
      <c r="E16" s="1068">
        <v>20</v>
      </c>
      <c r="F16" s="1069">
        <v>0.93</v>
      </c>
      <c r="G16" s="1069">
        <v>1.44</v>
      </c>
      <c r="H16" s="1069">
        <v>1.86</v>
      </c>
      <c r="I16" s="1069">
        <v>2.23</v>
      </c>
      <c r="J16" s="1069">
        <v>2.57</v>
      </c>
      <c r="K16" s="1069">
        <v>2.88</v>
      </c>
      <c r="L16" s="1069">
        <v>3.17</v>
      </c>
      <c r="M16" s="1069">
        <v>3.44</v>
      </c>
      <c r="N16" s="1069">
        <v>3.71</v>
      </c>
      <c r="O16" s="1069">
        <v>3.96</v>
      </c>
      <c r="P16" s="1069">
        <v>4.21</v>
      </c>
      <c r="Q16" s="1069">
        <v>4.45</v>
      </c>
      <c r="R16" s="1069">
        <v>5.34</v>
      </c>
      <c r="S16" s="1069">
        <v>6.14</v>
      </c>
    </row>
    <row r="17" spans="1:11" x14ac:dyDescent="0.25">
      <c r="A17" s="13" t="s">
        <v>1054</v>
      </c>
      <c r="B17" s="384">
        <v>6900</v>
      </c>
      <c r="C17" s="34" t="s">
        <v>1055</v>
      </c>
      <c r="E17" s="12" t="s">
        <v>1459</v>
      </c>
    </row>
    <row r="18" spans="1:11" x14ac:dyDescent="0.25">
      <c r="A18" s="13" t="s">
        <v>1058</v>
      </c>
      <c r="B18" s="384">
        <v>8319</v>
      </c>
      <c r="C18" s="34" t="s">
        <v>1059</v>
      </c>
    </row>
    <row r="19" spans="1:11" x14ac:dyDescent="0.25">
      <c r="A19" s="13" t="s">
        <v>1062</v>
      </c>
      <c r="B19" s="386">
        <v>8161.5</v>
      </c>
      <c r="C19" s="34" t="s">
        <v>1063</v>
      </c>
    </row>
    <row r="20" spans="1:11" x14ac:dyDescent="0.25">
      <c r="A20" s="13" t="s">
        <v>1066</v>
      </c>
      <c r="B20" s="384">
        <v>7791</v>
      </c>
      <c r="C20" s="34" t="s">
        <v>1067</v>
      </c>
      <c r="E20" s="823"/>
      <c r="F20" s="1090" t="s">
        <v>1477</v>
      </c>
      <c r="G20" s="1088"/>
      <c r="H20" s="979"/>
      <c r="I20" s="979"/>
      <c r="J20" s="979"/>
      <c r="K20" s="979"/>
    </row>
    <row r="21" spans="1:11" ht="17.25" x14ac:dyDescent="0.25">
      <c r="A21" s="13" t="s">
        <v>1070</v>
      </c>
      <c r="B21" s="384">
        <v>8353</v>
      </c>
      <c r="C21" s="34" t="s">
        <v>1071</v>
      </c>
      <c r="F21" s="1955" t="s">
        <v>1192</v>
      </c>
      <c r="G21" s="1955"/>
      <c r="H21" s="468"/>
      <c r="I21" s="980" t="s">
        <v>1479</v>
      </c>
      <c r="J21" s="980">
        <f>H21*2/1000</f>
        <v>0</v>
      </c>
      <c r="K21" s="980" t="s">
        <v>1190</v>
      </c>
    </row>
    <row r="22" spans="1:11" ht="17.25" x14ac:dyDescent="0.25">
      <c r="A22" s="818" t="s">
        <v>1074</v>
      </c>
      <c r="B22" s="819">
        <v>11487.5</v>
      </c>
      <c r="C22" s="822" t="s">
        <v>1075</v>
      </c>
      <c r="F22" s="1955" t="s">
        <v>1193</v>
      </c>
      <c r="G22" s="1955"/>
      <c r="H22" s="468"/>
      <c r="I22" s="980" t="s">
        <v>1480</v>
      </c>
      <c r="J22" s="1089">
        <f>H22*78.204/1000</f>
        <v>0</v>
      </c>
      <c r="K22" s="980" t="s">
        <v>1190</v>
      </c>
    </row>
    <row r="23" spans="1:11" x14ac:dyDescent="0.25">
      <c r="F23" s="12" t="s">
        <v>1478</v>
      </c>
    </row>
    <row r="24" spans="1:11" x14ac:dyDescent="0.25">
      <c r="A24" s="1951" t="s">
        <v>1383</v>
      </c>
      <c r="B24" s="1951"/>
      <c r="C24" s="1951"/>
      <c r="D24" s="1951"/>
    </row>
    <row r="25" spans="1:11" x14ac:dyDescent="0.25">
      <c r="A25" s="1952" t="s">
        <v>1008</v>
      </c>
      <c r="B25" s="1952"/>
      <c r="C25" s="1952"/>
      <c r="D25" s="824" t="s">
        <v>1009</v>
      </c>
      <c r="F25" s="690"/>
      <c r="G25" s="388"/>
      <c r="H25" s="388"/>
      <c r="I25" s="388"/>
    </row>
    <row r="26" spans="1:11" x14ac:dyDescent="0.25">
      <c r="A26" s="1952"/>
      <c r="B26" s="1952"/>
      <c r="C26" s="1952"/>
      <c r="D26" s="825" t="s">
        <v>1013</v>
      </c>
      <c r="F26" s="690"/>
      <c r="G26" s="388"/>
      <c r="H26" s="388"/>
      <c r="I26" s="388"/>
    </row>
    <row r="27" spans="1:11" x14ac:dyDescent="0.25">
      <c r="A27" s="575" t="s">
        <v>1016</v>
      </c>
      <c r="B27" s="575"/>
      <c r="C27" s="575"/>
      <c r="D27" s="758">
        <v>1.9699999999999999E-2</v>
      </c>
      <c r="F27" s="388"/>
      <c r="G27" s="388"/>
      <c r="H27" s="388"/>
      <c r="I27" s="388"/>
    </row>
    <row r="28" spans="1:11" x14ac:dyDescent="0.25">
      <c r="A28" s="575" t="s">
        <v>1020</v>
      </c>
      <c r="B28" s="575"/>
      <c r="C28" s="575"/>
      <c r="D28" s="758">
        <v>0.42780000000000001</v>
      </c>
      <c r="F28" s="388"/>
      <c r="G28" s="388"/>
      <c r="H28" s="388"/>
      <c r="I28" s="388"/>
    </row>
    <row r="29" spans="1:11" x14ac:dyDescent="0.25">
      <c r="A29" s="575" t="s">
        <v>1024</v>
      </c>
      <c r="B29" s="575"/>
      <c r="C29" s="575"/>
      <c r="D29" s="758">
        <v>2.2800000000000001E-2</v>
      </c>
      <c r="F29" s="388"/>
      <c r="G29" s="388"/>
      <c r="H29" s="388"/>
      <c r="I29" s="388"/>
    </row>
    <row r="30" spans="1:11" x14ac:dyDescent="0.25">
      <c r="A30" s="575" t="s">
        <v>1028</v>
      </c>
      <c r="B30" s="575"/>
      <c r="C30" s="575"/>
      <c r="D30" s="758">
        <v>4.6600000000000003E-2</v>
      </c>
    </row>
    <row r="31" spans="1:11" x14ac:dyDescent="0.25">
      <c r="A31" s="575" t="s">
        <v>1030</v>
      </c>
      <c r="B31" s="575"/>
      <c r="C31" s="575"/>
      <c r="D31" s="758">
        <v>1.78E-2</v>
      </c>
    </row>
    <row r="32" spans="1:11" x14ac:dyDescent="0.25">
      <c r="A32" s="575" t="s">
        <v>1034</v>
      </c>
      <c r="B32" s="575"/>
      <c r="C32" s="575"/>
      <c r="D32" s="758">
        <v>2.5399999999999999E-2</v>
      </c>
    </row>
    <row r="33" spans="1:4" x14ac:dyDescent="0.25">
      <c r="A33" s="575" t="s">
        <v>1038</v>
      </c>
      <c r="B33" s="575"/>
      <c r="C33" s="575"/>
      <c r="D33" s="758">
        <v>3.4700000000000002E-2</v>
      </c>
    </row>
    <row r="34" spans="1:4" x14ac:dyDescent="0.25">
      <c r="A34" s="575" t="s">
        <v>1042</v>
      </c>
      <c r="B34" s="575"/>
      <c r="C34" s="575"/>
      <c r="D34" s="758">
        <v>4.3299999999999998E-2</v>
      </c>
    </row>
    <row r="35" spans="1:4" x14ac:dyDescent="0.25">
      <c r="A35" s="575" t="s">
        <v>1045</v>
      </c>
      <c r="B35" s="575"/>
      <c r="C35" s="575"/>
      <c r="D35" s="758">
        <v>4.41E-2</v>
      </c>
    </row>
    <row r="36" spans="1:4" x14ac:dyDescent="0.25">
      <c r="A36" s="575" t="s">
        <v>1049</v>
      </c>
      <c r="B36" s="575"/>
      <c r="C36" s="575"/>
      <c r="D36" s="758">
        <v>0.32669999999999999</v>
      </c>
    </row>
    <row r="37" spans="1:4" x14ac:dyDescent="0.25">
      <c r="A37" s="575" t="s">
        <v>1053</v>
      </c>
      <c r="B37" s="575"/>
      <c r="C37" s="575"/>
      <c r="D37" s="758">
        <v>4.4000000000000003E-3</v>
      </c>
    </row>
    <row r="38" spans="1:4" x14ac:dyDescent="0.25">
      <c r="A38" s="575" t="s">
        <v>1057</v>
      </c>
      <c r="B38" s="575"/>
      <c r="C38" s="575"/>
      <c r="D38" s="758">
        <v>7.1000000000000004E-3</v>
      </c>
    </row>
    <row r="39" spans="1:4" x14ac:dyDescent="0.25">
      <c r="A39" s="575" t="s">
        <v>1061</v>
      </c>
      <c r="B39" s="575"/>
      <c r="C39" s="575"/>
      <c r="D39" s="758">
        <v>2.63E-2</v>
      </c>
    </row>
    <row r="40" spans="1:4" x14ac:dyDescent="0.25">
      <c r="A40" s="575" t="s">
        <v>1065</v>
      </c>
      <c r="B40" s="575"/>
      <c r="C40" s="575"/>
      <c r="D40" s="758">
        <v>6.1000000000000004E-3</v>
      </c>
    </row>
    <row r="41" spans="1:4" x14ac:dyDescent="0.25">
      <c r="A41" s="575" t="s">
        <v>1069</v>
      </c>
      <c r="B41" s="575"/>
      <c r="C41" s="575"/>
      <c r="D41" s="758">
        <v>5.7000000000000002E-2</v>
      </c>
    </row>
    <row r="42" spans="1:4" x14ac:dyDescent="0.25">
      <c r="A42" s="575" t="s">
        <v>1073</v>
      </c>
      <c r="B42" s="575"/>
      <c r="C42" s="575"/>
      <c r="D42" s="758">
        <v>1.12E-2</v>
      </c>
    </row>
    <row r="43" spans="1:4" x14ac:dyDescent="0.25">
      <c r="A43" s="575" t="s">
        <v>1077</v>
      </c>
      <c r="B43" s="575"/>
      <c r="C43" s="575"/>
      <c r="D43" s="758">
        <v>8.5000000000000006E-3</v>
      </c>
    </row>
    <row r="44" spans="1:4" x14ac:dyDescent="0.25">
      <c r="A44" s="575" t="s">
        <v>1079</v>
      </c>
      <c r="B44" s="575"/>
      <c r="C44" s="575"/>
      <c r="D44" s="758">
        <v>0.24660000000000001</v>
      </c>
    </row>
    <row r="45" spans="1:4" x14ac:dyDescent="0.25">
      <c r="A45" s="575" t="s">
        <v>1081</v>
      </c>
      <c r="B45" s="575"/>
      <c r="C45" s="575"/>
      <c r="D45" s="758">
        <v>0.15090000000000001</v>
      </c>
    </row>
    <row r="46" spans="1:4" x14ac:dyDescent="0.25">
      <c r="A46" s="575" t="s">
        <v>1083</v>
      </c>
      <c r="B46" s="575"/>
      <c r="C46" s="575"/>
      <c r="D46" s="758">
        <v>0.14480000000000001</v>
      </c>
    </row>
    <row r="47" spans="1:4" x14ac:dyDescent="0.25">
      <c r="A47" s="575" t="s">
        <v>1085</v>
      </c>
      <c r="B47" s="575"/>
      <c r="C47" s="575"/>
      <c r="D47" s="758">
        <v>3.5499999999999997E-2</v>
      </c>
    </row>
    <row r="48" spans="1:4" x14ac:dyDescent="0.25">
      <c r="A48" s="575" t="s">
        <v>1087</v>
      </c>
      <c r="B48" s="575"/>
      <c r="C48" s="575"/>
      <c r="D48" s="758">
        <v>1.2999999999999999E-2</v>
      </c>
    </row>
    <row r="49" spans="1:4" x14ac:dyDescent="0.25">
      <c r="A49" s="575" t="s">
        <v>1089</v>
      </c>
      <c r="B49" s="575"/>
      <c r="C49" s="575"/>
      <c r="D49" s="758">
        <v>1.04E-2</v>
      </c>
    </row>
    <row r="50" spans="1:4" x14ac:dyDescent="0.25">
      <c r="A50" s="575" t="s">
        <v>1091</v>
      </c>
      <c r="B50" s="575"/>
      <c r="C50" s="575"/>
      <c r="D50" s="758">
        <v>8.0999999999999996E-3</v>
      </c>
    </row>
    <row r="51" spans="1:4" x14ac:dyDescent="0.25">
      <c r="A51" s="575" t="s">
        <v>1093</v>
      </c>
      <c r="B51" s="575"/>
      <c r="C51" s="575"/>
      <c r="D51" s="758">
        <v>3.1699999999999999E-2</v>
      </c>
    </row>
    <row r="52" spans="1:4" x14ac:dyDescent="0.25">
      <c r="A52" s="385" t="s">
        <v>1095</v>
      </c>
      <c r="D52" s="196"/>
    </row>
    <row r="54" spans="1:4" ht="30" x14ac:dyDescent="0.25">
      <c r="A54" s="1953" t="s">
        <v>1008</v>
      </c>
      <c r="B54" s="1953"/>
      <c r="C54" s="1953"/>
      <c r="D54" s="824" t="s">
        <v>1098</v>
      </c>
    </row>
    <row r="55" spans="1:4" x14ac:dyDescent="0.25">
      <c r="A55" s="1954"/>
      <c r="B55" s="1954"/>
      <c r="C55" s="1954"/>
      <c r="D55" s="826" t="s">
        <v>1013</v>
      </c>
    </row>
    <row r="56" spans="1:4" x14ac:dyDescent="0.25">
      <c r="A56" s="575" t="s">
        <v>1101</v>
      </c>
      <c r="B56" s="575"/>
      <c r="C56" s="575"/>
      <c r="D56" s="758">
        <v>0.42780000000000001</v>
      </c>
    </row>
    <row r="57" spans="1:4" x14ac:dyDescent="0.25">
      <c r="A57" s="575" t="s">
        <v>1102</v>
      </c>
      <c r="B57" s="575"/>
      <c r="C57" s="575"/>
      <c r="D57" s="820">
        <v>2.0299999999999999E-2</v>
      </c>
    </row>
    <row r="58" spans="1:4" x14ac:dyDescent="0.25">
      <c r="A58" s="575" t="s">
        <v>1103</v>
      </c>
      <c r="B58" s="575"/>
      <c r="C58" s="575"/>
      <c r="D58" s="758">
        <v>4.6600000000000003E-2</v>
      </c>
    </row>
    <row r="59" spans="1:4" x14ac:dyDescent="0.25">
      <c r="A59" s="575" t="s">
        <v>1104</v>
      </c>
      <c r="B59" s="575"/>
      <c r="C59" s="575"/>
      <c r="D59" s="820">
        <v>3.4700000000000002E-2</v>
      </c>
    </row>
    <row r="60" spans="1:4" x14ac:dyDescent="0.25">
      <c r="A60" s="575" t="s">
        <v>1105</v>
      </c>
      <c r="B60" s="575"/>
      <c r="C60" s="575"/>
      <c r="D60" s="758">
        <v>4.3299999999999998E-2</v>
      </c>
    </row>
    <row r="61" spans="1:4" x14ac:dyDescent="0.25">
      <c r="A61" s="575" t="s">
        <v>1106</v>
      </c>
      <c r="B61" s="575"/>
      <c r="C61" s="575"/>
      <c r="D61" s="758">
        <v>4.4000000000000003E-3</v>
      </c>
    </row>
    <row r="62" spans="1:4" x14ac:dyDescent="0.25">
      <c r="A62" s="575" t="s">
        <v>1107</v>
      </c>
      <c r="B62" s="575"/>
      <c r="C62" s="575"/>
      <c r="D62" s="820">
        <v>1.2E-2</v>
      </c>
    </row>
    <row r="63" spans="1:4" x14ac:dyDescent="0.25">
      <c r="A63" s="575" t="s">
        <v>1108</v>
      </c>
      <c r="B63" s="575"/>
      <c r="C63" s="575"/>
      <c r="D63" s="758">
        <v>5.7000000000000002E-2</v>
      </c>
    </row>
    <row r="64" spans="1:4" x14ac:dyDescent="0.25">
      <c r="A64" s="575" t="s">
        <v>1109</v>
      </c>
      <c r="B64" s="575"/>
      <c r="C64" s="575"/>
      <c r="D64" s="758">
        <v>1.12E-2</v>
      </c>
    </row>
    <row r="65" spans="1:4" x14ac:dyDescent="0.25">
      <c r="A65" s="575" t="s">
        <v>1110</v>
      </c>
      <c r="B65" s="575"/>
      <c r="C65" s="575"/>
      <c r="D65" s="820">
        <v>0.19869999999999999</v>
      </c>
    </row>
    <row r="66" spans="1:4" x14ac:dyDescent="0.25">
      <c r="A66" s="575" t="s">
        <v>1111</v>
      </c>
      <c r="B66" s="575"/>
      <c r="C66" s="575"/>
      <c r="D66" s="758">
        <v>0.14480000000000001</v>
      </c>
    </row>
    <row r="67" spans="1:4" x14ac:dyDescent="0.25">
      <c r="A67" s="575" t="s">
        <v>1112</v>
      </c>
      <c r="B67" s="575"/>
      <c r="C67" s="575"/>
      <c r="D67" s="820">
        <v>2.29E-2</v>
      </c>
    </row>
    <row r="70" spans="1:4" x14ac:dyDescent="0.25">
      <c r="A70" s="831" t="s">
        <v>1384</v>
      </c>
      <c r="B70" s="817"/>
    </row>
    <row r="71" spans="1:4" x14ac:dyDescent="0.25">
      <c r="A71" s="827" t="s">
        <v>1006</v>
      </c>
      <c r="B71" s="178" t="s">
        <v>1007</v>
      </c>
    </row>
    <row r="72" spans="1:4" x14ac:dyDescent="0.25">
      <c r="A72" s="176" t="s">
        <v>1012</v>
      </c>
      <c r="B72" s="828">
        <v>0.25</v>
      </c>
    </row>
    <row r="73" spans="1:4" x14ac:dyDescent="0.25">
      <c r="A73" s="176" t="s">
        <v>847</v>
      </c>
      <c r="B73" s="828">
        <v>0.62</v>
      </c>
    </row>
    <row r="74" spans="1:4" x14ac:dyDescent="0.25">
      <c r="A74" s="176" t="s">
        <v>1019</v>
      </c>
      <c r="B74" s="828">
        <v>0.62</v>
      </c>
    </row>
    <row r="75" spans="1:4" x14ac:dyDescent="0.25">
      <c r="A75" s="176" t="s">
        <v>1023</v>
      </c>
      <c r="B75" s="828">
        <v>0.1</v>
      </c>
    </row>
    <row r="76" spans="1:4" x14ac:dyDescent="0.25">
      <c r="A76" s="176" t="s">
        <v>1027</v>
      </c>
      <c r="B76" s="828">
        <v>0.75</v>
      </c>
    </row>
    <row r="77" spans="1:4" x14ac:dyDescent="0.25">
      <c r="A77" s="176" t="s">
        <v>727</v>
      </c>
      <c r="B77" s="828">
        <v>0.37</v>
      </c>
    </row>
    <row r="78" spans="1:4" x14ac:dyDescent="0.25">
      <c r="A78" s="176" t="s">
        <v>1033</v>
      </c>
      <c r="B78" s="828">
        <v>0.5</v>
      </c>
    </row>
    <row r="79" spans="1:4" x14ac:dyDescent="0.25">
      <c r="A79" s="176" t="s">
        <v>1037</v>
      </c>
      <c r="B79" s="828">
        <v>0.25</v>
      </c>
    </row>
    <row r="80" spans="1:4" x14ac:dyDescent="0.25">
      <c r="A80" s="176" t="s">
        <v>1041</v>
      </c>
      <c r="B80" s="828">
        <v>0.15</v>
      </c>
    </row>
    <row r="81" spans="1:2" x14ac:dyDescent="0.25">
      <c r="A81" s="176" t="s">
        <v>1044</v>
      </c>
      <c r="B81" s="828">
        <v>1</v>
      </c>
    </row>
    <row r="82" spans="1:2" x14ac:dyDescent="0.25">
      <c r="A82" s="827" t="s">
        <v>1048</v>
      </c>
      <c r="B82" s="178" t="s">
        <v>1007</v>
      </c>
    </row>
    <row r="83" spans="1:2" x14ac:dyDescent="0.25">
      <c r="A83" s="176" t="s">
        <v>1052</v>
      </c>
      <c r="B83" s="828">
        <v>0.2</v>
      </c>
    </row>
    <row r="84" spans="1:2" x14ac:dyDescent="0.25">
      <c r="A84" s="176" t="s">
        <v>1056</v>
      </c>
      <c r="B84" s="828">
        <v>0.13</v>
      </c>
    </row>
    <row r="85" spans="1:2" x14ac:dyDescent="0.25">
      <c r="A85" s="179" t="s">
        <v>1060</v>
      </c>
      <c r="B85" s="180">
        <v>0.1</v>
      </c>
    </row>
    <row r="86" spans="1:2" x14ac:dyDescent="0.25">
      <c r="A86" s="179" t="s">
        <v>1064</v>
      </c>
      <c r="B86" s="180">
        <v>0.08</v>
      </c>
    </row>
    <row r="87" spans="1:2" x14ac:dyDescent="0.25">
      <c r="A87" s="179" t="s">
        <v>1068</v>
      </c>
      <c r="B87" s="180">
        <v>0.05</v>
      </c>
    </row>
    <row r="88" spans="1:2" x14ac:dyDescent="0.25">
      <c r="A88" s="179" t="s">
        <v>1072</v>
      </c>
      <c r="B88" s="180">
        <v>0.03</v>
      </c>
    </row>
    <row r="89" spans="1:2" x14ac:dyDescent="0.25">
      <c r="A89" s="179" t="s">
        <v>1076</v>
      </c>
      <c r="B89" s="180">
        <v>0.4</v>
      </c>
    </row>
    <row r="90" spans="1:2" x14ac:dyDescent="0.25">
      <c r="A90" s="179" t="s">
        <v>1078</v>
      </c>
      <c r="B90" s="180">
        <v>0.31</v>
      </c>
    </row>
    <row r="91" spans="1:2" x14ac:dyDescent="0.25">
      <c r="A91" s="179" t="s">
        <v>1080</v>
      </c>
      <c r="B91" s="180">
        <v>0.04</v>
      </c>
    </row>
    <row r="92" spans="1:2" x14ac:dyDescent="0.25">
      <c r="A92" s="179" t="s">
        <v>1082</v>
      </c>
      <c r="B92" s="180">
        <v>0.05</v>
      </c>
    </row>
    <row r="93" spans="1:2" x14ac:dyDescent="0.25">
      <c r="A93" s="179" t="s">
        <v>1084</v>
      </c>
      <c r="B93" s="180">
        <v>0.03</v>
      </c>
    </row>
    <row r="94" spans="1:2" x14ac:dyDescent="0.25">
      <c r="A94" s="179" t="s">
        <v>1086</v>
      </c>
      <c r="B94" s="180">
        <v>0.38</v>
      </c>
    </row>
    <row r="95" spans="1:2" x14ac:dyDescent="0.25">
      <c r="A95" s="179" t="s">
        <v>1088</v>
      </c>
      <c r="B95" s="180">
        <v>0.22</v>
      </c>
    </row>
    <row r="96" spans="1:2" x14ac:dyDescent="0.25">
      <c r="A96" s="179" t="s">
        <v>1090</v>
      </c>
      <c r="B96" s="180">
        <v>0.19</v>
      </c>
    </row>
    <row r="97" spans="1:2" x14ac:dyDescent="0.25">
      <c r="A97" s="179" t="s">
        <v>1092</v>
      </c>
      <c r="B97" s="180">
        <v>0.11</v>
      </c>
    </row>
    <row r="98" spans="1:2" x14ac:dyDescent="0.25">
      <c r="A98" s="179" t="s">
        <v>1094</v>
      </c>
      <c r="B98" s="180">
        <v>0.25</v>
      </c>
    </row>
    <row r="99" spans="1:2" x14ac:dyDescent="0.25">
      <c r="A99" s="179" t="s">
        <v>1096</v>
      </c>
      <c r="B99" s="180">
        <v>0.12</v>
      </c>
    </row>
    <row r="100" spans="1:2" x14ac:dyDescent="0.25">
      <c r="A100" s="179" t="s">
        <v>1097</v>
      </c>
      <c r="B100" s="180">
        <v>0.1</v>
      </c>
    </row>
    <row r="101" spans="1:2" x14ac:dyDescent="0.25">
      <c r="A101" s="179" t="s">
        <v>1099</v>
      </c>
      <c r="B101" s="180">
        <v>0.01</v>
      </c>
    </row>
    <row r="102" spans="1:2" x14ac:dyDescent="0.25">
      <c r="A102" s="829" t="s">
        <v>1100</v>
      </c>
      <c r="B102" s="830">
        <v>0.03</v>
      </c>
    </row>
    <row r="103" spans="1:2" x14ac:dyDescent="0.25">
      <c r="A103" s="6"/>
      <c r="B103" s="6"/>
    </row>
    <row r="104" spans="1:2" x14ac:dyDescent="0.25">
      <c r="A104" s="6"/>
      <c r="B104" s="6"/>
    </row>
    <row r="105" spans="1:2" x14ac:dyDescent="0.25">
      <c r="A105" s="6"/>
      <c r="B105" s="6"/>
    </row>
    <row r="106" spans="1:2" x14ac:dyDescent="0.25">
      <c r="A106" s="6"/>
      <c r="B106" s="6"/>
    </row>
    <row r="107" spans="1:2" x14ac:dyDescent="0.25">
      <c r="A107" s="6"/>
      <c r="B107" s="6"/>
    </row>
    <row r="108" spans="1:2" x14ac:dyDescent="0.25">
      <c r="A108" s="6"/>
      <c r="B108" s="6"/>
    </row>
    <row r="109" spans="1:2" x14ac:dyDescent="0.25">
      <c r="A109" s="6"/>
      <c r="B109" s="6"/>
    </row>
    <row r="110" spans="1:2" x14ac:dyDescent="0.25">
      <c r="A110" s="6"/>
      <c r="B110" s="6"/>
    </row>
    <row r="111" spans="1:2" x14ac:dyDescent="0.25">
      <c r="A111" s="6"/>
      <c r="B111" s="6"/>
    </row>
    <row r="112" spans="1:2" x14ac:dyDescent="0.25">
      <c r="A112" s="6"/>
      <c r="B112" s="6"/>
    </row>
    <row r="113" spans="1:2" x14ac:dyDescent="0.25">
      <c r="A113" s="6"/>
      <c r="B113" s="6"/>
    </row>
    <row r="114" spans="1:2" x14ac:dyDescent="0.25">
      <c r="A114" s="6"/>
      <c r="B114" s="6"/>
    </row>
    <row r="115" spans="1:2" x14ac:dyDescent="0.25">
      <c r="A115" s="6"/>
      <c r="B115" s="6"/>
    </row>
    <row r="116" spans="1:2" x14ac:dyDescent="0.25">
      <c r="A116" s="6"/>
      <c r="B116" s="6"/>
    </row>
    <row r="117" spans="1:2" x14ac:dyDescent="0.25">
      <c r="A117" s="6"/>
      <c r="B117" s="6"/>
    </row>
    <row r="118" spans="1:2" x14ac:dyDescent="0.25">
      <c r="A118" s="6"/>
      <c r="B118" s="6"/>
    </row>
    <row r="119" spans="1:2" x14ac:dyDescent="0.25">
      <c r="A119" s="6"/>
      <c r="B119" s="6"/>
    </row>
    <row r="120" spans="1:2" x14ac:dyDescent="0.25">
      <c r="A120" s="6"/>
      <c r="B120" s="6"/>
    </row>
    <row r="121" spans="1:2" x14ac:dyDescent="0.25">
      <c r="A121" s="6"/>
      <c r="B121" s="6"/>
    </row>
    <row r="122" spans="1:2" x14ac:dyDescent="0.25">
      <c r="A122" s="6"/>
      <c r="B122" s="6"/>
    </row>
    <row r="123" spans="1:2" x14ac:dyDescent="0.25">
      <c r="A123" s="6"/>
      <c r="B123" s="6"/>
    </row>
    <row r="124" spans="1:2" x14ac:dyDescent="0.25">
      <c r="A124" s="6"/>
      <c r="B124" s="6"/>
    </row>
    <row r="125" spans="1:2" x14ac:dyDescent="0.25">
      <c r="A125" s="6"/>
      <c r="B125" s="6"/>
    </row>
    <row r="126" spans="1:2" x14ac:dyDescent="0.25">
      <c r="A126" s="6"/>
      <c r="B126" s="6"/>
    </row>
    <row r="127" spans="1:2" x14ac:dyDescent="0.25">
      <c r="A127" s="6"/>
      <c r="B127" s="6"/>
    </row>
    <row r="128" spans="1:2" x14ac:dyDescent="0.25">
      <c r="A128" s="6"/>
      <c r="B128" s="6"/>
    </row>
    <row r="129" spans="1:2" x14ac:dyDescent="0.25">
      <c r="A129" s="6"/>
      <c r="B129" s="6"/>
    </row>
    <row r="130" spans="1:2" x14ac:dyDescent="0.25">
      <c r="A130" s="6"/>
      <c r="B130" s="6"/>
    </row>
    <row r="131" spans="1:2" x14ac:dyDescent="0.25">
      <c r="A131" s="6"/>
      <c r="B131" s="6"/>
    </row>
    <row r="132" spans="1:2" x14ac:dyDescent="0.25">
      <c r="A132" s="6"/>
      <c r="B132" s="6"/>
    </row>
    <row r="133" spans="1:2" x14ac:dyDescent="0.25">
      <c r="A133" s="6"/>
      <c r="B133" s="6"/>
    </row>
    <row r="134" spans="1:2" x14ac:dyDescent="0.25">
      <c r="A134" s="6"/>
      <c r="B134" s="6"/>
    </row>
    <row r="135" spans="1:2" x14ac:dyDescent="0.25">
      <c r="A135" s="6"/>
      <c r="B135" s="6"/>
    </row>
    <row r="136" spans="1:2" x14ac:dyDescent="0.25">
      <c r="A136" s="6"/>
      <c r="B136" s="6"/>
    </row>
    <row r="137" spans="1:2" x14ac:dyDescent="0.25">
      <c r="A137" s="6"/>
      <c r="B137" s="6"/>
    </row>
    <row r="138" spans="1:2" x14ac:dyDescent="0.25">
      <c r="A138" s="6"/>
      <c r="B138" s="6"/>
    </row>
    <row r="139" spans="1:2" x14ac:dyDescent="0.25">
      <c r="A139" s="6"/>
      <c r="B139" s="6"/>
    </row>
    <row r="140" spans="1:2" x14ac:dyDescent="0.25">
      <c r="A140" s="6"/>
      <c r="B140" s="6"/>
    </row>
    <row r="141" spans="1:2" x14ac:dyDescent="0.25">
      <c r="A141" s="6"/>
      <c r="B141" s="6"/>
    </row>
    <row r="142" spans="1:2" x14ac:dyDescent="0.25">
      <c r="A142" s="6"/>
      <c r="B142" s="6"/>
    </row>
    <row r="143" spans="1:2" x14ac:dyDescent="0.25">
      <c r="A143" s="6"/>
      <c r="B143" s="6"/>
    </row>
    <row r="144" spans="1:2" x14ac:dyDescent="0.25">
      <c r="A144" s="6"/>
      <c r="B144" s="6"/>
    </row>
    <row r="145" spans="1:2" x14ac:dyDescent="0.25">
      <c r="A145" s="6"/>
      <c r="B145" s="6"/>
    </row>
    <row r="146" spans="1:2" x14ac:dyDescent="0.25">
      <c r="A146" s="6"/>
      <c r="B146" s="6"/>
    </row>
    <row r="147" spans="1:2" x14ac:dyDescent="0.25">
      <c r="A147" s="6"/>
      <c r="B147" s="6"/>
    </row>
    <row r="148" spans="1:2" x14ac:dyDescent="0.25">
      <c r="A148" s="6"/>
      <c r="B148" s="6"/>
    </row>
    <row r="149" spans="1:2" x14ac:dyDescent="0.25">
      <c r="A149" s="6"/>
      <c r="B149" s="6"/>
    </row>
    <row r="150" spans="1:2" x14ac:dyDescent="0.25">
      <c r="A150" s="6"/>
      <c r="B150" s="6"/>
    </row>
    <row r="151" spans="1:2" x14ac:dyDescent="0.25">
      <c r="A151" s="6"/>
      <c r="B151" s="6"/>
    </row>
    <row r="152" spans="1:2" x14ac:dyDescent="0.25">
      <c r="A152" s="179" t="s">
        <v>1090</v>
      </c>
      <c r="B152" s="180">
        <v>0.19</v>
      </c>
    </row>
    <row r="153" spans="1:2" x14ac:dyDescent="0.25">
      <c r="A153" s="179" t="s">
        <v>1092</v>
      </c>
      <c r="B153" s="180">
        <v>0.11</v>
      </c>
    </row>
    <row r="154" spans="1:2" x14ac:dyDescent="0.25">
      <c r="A154" s="179" t="s">
        <v>1094</v>
      </c>
      <c r="B154" s="180">
        <v>0.25</v>
      </c>
    </row>
    <row r="155" spans="1:2" x14ac:dyDescent="0.25">
      <c r="A155" s="179" t="s">
        <v>1096</v>
      </c>
      <c r="B155" s="180">
        <v>0.12</v>
      </c>
    </row>
    <row r="156" spans="1:2" x14ac:dyDescent="0.25">
      <c r="A156" s="179" t="s">
        <v>1097</v>
      </c>
      <c r="B156" s="180">
        <v>0.1</v>
      </c>
    </row>
    <row r="157" spans="1:2" x14ac:dyDescent="0.25">
      <c r="A157" s="179" t="s">
        <v>1099</v>
      </c>
      <c r="B157" s="180">
        <v>0.01</v>
      </c>
    </row>
    <row r="158" spans="1:2" x14ac:dyDescent="0.25">
      <c r="A158" s="829" t="s">
        <v>1100</v>
      </c>
      <c r="B158" s="830">
        <v>0.03</v>
      </c>
    </row>
    <row r="159" spans="1:2" x14ac:dyDescent="0.25">
      <c r="A159" s="6"/>
      <c r="B159" s="6"/>
    </row>
    <row r="160" spans="1:2" x14ac:dyDescent="0.25">
      <c r="A160" s="6"/>
      <c r="B160" s="6"/>
    </row>
    <row r="161" spans="1:2" x14ac:dyDescent="0.25">
      <c r="A161" s="6"/>
      <c r="B161" s="6"/>
    </row>
    <row r="162" spans="1:2" x14ac:dyDescent="0.25">
      <c r="A162" s="6"/>
      <c r="B162" s="6"/>
    </row>
    <row r="163" spans="1:2" x14ac:dyDescent="0.25">
      <c r="A163" s="6"/>
      <c r="B163" s="6"/>
    </row>
    <row r="164" spans="1:2" x14ac:dyDescent="0.25">
      <c r="A164" s="6"/>
      <c r="B164" s="6"/>
    </row>
    <row r="165" spans="1:2" x14ac:dyDescent="0.25">
      <c r="A165" s="6"/>
      <c r="B165" s="6"/>
    </row>
    <row r="166" spans="1:2" x14ac:dyDescent="0.25">
      <c r="A166" s="6"/>
      <c r="B166" s="6"/>
    </row>
    <row r="167" spans="1:2" x14ac:dyDescent="0.25">
      <c r="A167" s="6"/>
      <c r="B167" s="6"/>
    </row>
    <row r="168" spans="1:2" x14ac:dyDescent="0.25">
      <c r="A168" s="6"/>
      <c r="B168" s="6"/>
    </row>
    <row r="169" spans="1:2" x14ac:dyDescent="0.25">
      <c r="A169" s="6"/>
      <c r="B169" s="6"/>
    </row>
    <row r="170" spans="1:2" x14ac:dyDescent="0.25">
      <c r="A170" s="6"/>
      <c r="B170" s="6"/>
    </row>
    <row r="171" spans="1:2" x14ac:dyDescent="0.25">
      <c r="A171" s="6"/>
      <c r="B171" s="6"/>
    </row>
    <row r="172" spans="1:2" x14ac:dyDescent="0.25">
      <c r="A172" s="179" t="s">
        <v>1096</v>
      </c>
      <c r="B172" s="180">
        <v>0.12</v>
      </c>
    </row>
    <row r="173" spans="1:2" x14ac:dyDescent="0.25">
      <c r="A173" s="179" t="s">
        <v>1097</v>
      </c>
      <c r="B173" s="180">
        <v>0.1</v>
      </c>
    </row>
    <row r="174" spans="1:2" x14ac:dyDescent="0.25">
      <c r="A174" s="179" t="s">
        <v>1113</v>
      </c>
      <c r="B174" s="180">
        <v>0.01</v>
      </c>
    </row>
    <row r="175" spans="1:2" x14ac:dyDescent="0.25">
      <c r="A175" s="829" t="s">
        <v>1114</v>
      </c>
      <c r="B175" s="830">
        <v>0.03</v>
      </c>
    </row>
    <row r="176" spans="1:2" x14ac:dyDescent="0.25">
      <c r="A176" s="6" t="s">
        <v>1115</v>
      </c>
      <c r="B176" s="6"/>
    </row>
    <row r="177" spans="1:2" x14ac:dyDescent="0.25">
      <c r="A177" s="6"/>
      <c r="B177" s="6"/>
    </row>
    <row r="178" spans="1:2" x14ac:dyDescent="0.25">
      <c r="A178" s="181" t="s">
        <v>1116</v>
      </c>
      <c r="B178" s="6"/>
    </row>
    <row r="179" spans="1:2" x14ac:dyDescent="0.25">
      <c r="A179" s="181" t="s">
        <v>1117</v>
      </c>
      <c r="B179" s="6"/>
    </row>
    <row r="180" spans="1:2" x14ac:dyDescent="0.25">
      <c r="A180" s="181" t="s">
        <v>1118</v>
      </c>
      <c r="B180" s="6"/>
    </row>
    <row r="181" spans="1:2" x14ac:dyDescent="0.25">
      <c r="A181" s="6"/>
      <c r="B181" s="6"/>
    </row>
  </sheetData>
  <sheetProtection sheet="1" objects="1" scenarios="1" selectLockedCells="1" selectUnlockedCells="1"/>
  <mergeCells count="6">
    <mergeCell ref="A24:D24"/>
    <mergeCell ref="A1:N1"/>
    <mergeCell ref="A25:C26"/>
    <mergeCell ref="A54:C55"/>
    <mergeCell ref="F21:G21"/>
    <mergeCell ref="F22:G22"/>
  </mergeCells>
  <pageMargins left="0.511811024" right="0.511811024" top="0.78740157499999996" bottom="0.78740157499999996" header="0.31496062000000002" footer="0.31496062000000002"/>
  <drawing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rgb="FF00A039"/>
  </sheetPr>
  <dimension ref="A1:EO44"/>
  <sheetViews>
    <sheetView showGridLines="0" workbookViewId="0"/>
  </sheetViews>
  <sheetFormatPr defaultColWidth="0" defaultRowHeight="15" zeroHeight="1" x14ac:dyDescent="0.25"/>
  <cols>
    <col min="1" max="1" width="1.42578125" customWidth="1"/>
    <col min="2" max="2" width="3.28515625" customWidth="1"/>
    <col min="3" max="3" width="7" customWidth="1"/>
    <col min="4" max="4" width="17.42578125" customWidth="1"/>
    <col min="5" max="5" width="13.85546875" customWidth="1"/>
    <col min="6" max="6" width="14.7109375" customWidth="1"/>
    <col min="7" max="7" width="18.85546875" customWidth="1"/>
    <col min="8" max="8" width="16.7109375" customWidth="1"/>
    <col min="9" max="9" width="19.85546875" customWidth="1"/>
    <col min="10" max="10" width="14.7109375" customWidth="1"/>
    <col min="11" max="11" width="15.140625" customWidth="1"/>
    <col min="12" max="12" width="19.7109375" customWidth="1"/>
    <col min="13" max="13" width="13.42578125" customWidth="1"/>
    <col min="14" max="14" width="11" customWidth="1"/>
    <col min="15" max="15" width="5.140625" customWidth="1"/>
    <col min="16" max="145" width="0" hidden="1" customWidth="1"/>
    <col min="146" max="16384" width="8.85546875" hidden="1"/>
  </cols>
  <sheetData>
    <row r="1" spans="1:145" s="272" customFormat="1" ht="19.5" thickTop="1" x14ac:dyDescent="0.3">
      <c r="A1" s="978"/>
      <c r="B1" s="1862" t="s">
        <v>1162</v>
      </c>
      <c r="C1" s="1863"/>
      <c r="D1" s="1863"/>
      <c r="E1" s="1863"/>
      <c r="F1" s="1863"/>
      <c r="G1" s="1863"/>
      <c r="H1" s="1863"/>
      <c r="I1" s="1863"/>
      <c r="J1" s="1863"/>
      <c r="K1" s="1863"/>
      <c r="L1" s="1863"/>
      <c r="M1" s="1863"/>
      <c r="N1" s="1864"/>
      <c r="O1" s="977"/>
      <c r="P1" s="269"/>
      <c r="Q1" s="269"/>
      <c r="R1" s="269"/>
      <c r="S1" s="270"/>
      <c r="T1" s="270"/>
      <c r="U1" s="270"/>
      <c r="V1" s="270"/>
      <c r="W1" s="270"/>
      <c r="X1" s="270"/>
      <c r="Y1" s="270"/>
      <c r="Z1" s="270"/>
      <c r="AA1" s="270"/>
      <c r="AB1" s="270"/>
      <c r="AC1" s="271"/>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row>
    <row r="2" spans="1:145" s="270" customFormat="1" ht="18.75" x14ac:dyDescent="0.3">
      <c r="A2" s="1395"/>
      <c r="B2" s="1396"/>
      <c r="C2" s="1397"/>
      <c r="D2" s="1397"/>
      <c r="E2" s="1397"/>
      <c r="F2" s="1397"/>
      <c r="G2" s="1397"/>
      <c r="H2" s="1397"/>
      <c r="I2" s="1397"/>
      <c r="J2" s="1397"/>
      <c r="K2" s="1397"/>
      <c r="L2" s="1397"/>
      <c r="M2" s="1397"/>
      <c r="N2" s="1398"/>
      <c r="O2" s="1395"/>
      <c r="P2" s="269"/>
      <c r="Q2" s="269"/>
      <c r="R2" s="269"/>
      <c r="AC2" s="271"/>
    </row>
    <row r="3" spans="1:145" s="270" customFormat="1" ht="18.75" x14ac:dyDescent="0.3">
      <c r="A3" s="1395"/>
      <c r="B3" s="1396"/>
      <c r="C3" s="1397"/>
      <c r="D3" s="1397"/>
      <c r="E3" s="1397"/>
      <c r="F3" s="1397"/>
      <c r="G3" s="1397"/>
      <c r="H3" s="1397"/>
      <c r="I3" s="1397"/>
      <c r="J3" s="1397"/>
      <c r="K3" s="1397"/>
      <c r="L3" s="1397"/>
      <c r="M3" s="1397"/>
      <c r="N3" s="1398"/>
      <c r="O3" s="1395"/>
      <c r="P3" s="269"/>
      <c r="Q3" s="269"/>
      <c r="R3" s="269"/>
      <c r="AC3" s="271"/>
    </row>
    <row r="4" spans="1:145" s="205" customFormat="1" ht="12" customHeight="1" x14ac:dyDescent="0.3">
      <c r="B4" s="229"/>
      <c r="C4" s="230"/>
      <c r="D4" s="230"/>
      <c r="E4" s="230"/>
      <c r="F4" s="230"/>
      <c r="G4" s="230"/>
      <c r="H4" s="230"/>
      <c r="I4" s="230"/>
      <c r="J4" s="230"/>
      <c r="K4" s="262"/>
      <c r="L4" s="263"/>
      <c r="M4" s="263"/>
      <c r="N4" s="264"/>
    </row>
    <row r="5" spans="1:145" s="205" customFormat="1" ht="15.75" x14ac:dyDescent="0.25">
      <c r="A5" s="228"/>
      <c r="B5" s="1616" t="s">
        <v>495</v>
      </c>
      <c r="C5" s="1617"/>
      <c r="D5" s="1617"/>
      <c r="E5" s="1617"/>
      <c r="F5" s="1617"/>
      <c r="G5" s="1617"/>
      <c r="H5" s="1617"/>
      <c r="I5" s="1617"/>
      <c r="J5" s="1617"/>
      <c r="K5" s="1617"/>
      <c r="L5" s="1617"/>
      <c r="M5" s="1617"/>
      <c r="N5" s="1618"/>
    </row>
    <row r="6" spans="1:145" s="205" customFormat="1" ht="16.5" thickBot="1" x14ac:dyDescent="0.3">
      <c r="A6" s="230"/>
      <c r="B6" s="1521"/>
      <c r="C6" s="1522"/>
      <c r="D6" s="1522"/>
      <c r="E6" s="1522"/>
      <c r="F6" s="1522"/>
      <c r="G6" s="1522"/>
      <c r="H6" s="1522"/>
      <c r="I6" s="1522"/>
      <c r="J6" s="1522"/>
      <c r="K6" s="1522"/>
      <c r="L6" s="1522"/>
      <c r="M6" s="1522"/>
      <c r="N6" s="1523"/>
    </row>
    <row r="7" spans="1:145" s="205" customFormat="1" x14ac:dyDescent="0.25">
      <c r="B7" s="229"/>
      <c r="C7" s="230"/>
      <c r="D7" s="111" t="s">
        <v>534</v>
      </c>
      <c r="E7" s="112"/>
      <c r="F7" s="112"/>
      <c r="G7" s="112"/>
      <c r="H7" s="112"/>
      <c r="I7" s="112"/>
      <c r="J7" s="1408" t="s">
        <v>504</v>
      </c>
      <c r="K7" s="1408" t="s">
        <v>30</v>
      </c>
      <c r="L7" s="1431" t="s">
        <v>536</v>
      </c>
      <c r="M7" s="230"/>
      <c r="N7" s="228"/>
    </row>
    <row r="8" spans="1:145" s="205" customFormat="1" x14ac:dyDescent="0.25">
      <c r="B8" s="229"/>
      <c r="C8" s="230"/>
      <c r="D8" s="257" t="s">
        <v>1406</v>
      </c>
      <c r="E8" s="237"/>
      <c r="F8" s="237"/>
      <c r="G8" s="237"/>
      <c r="H8" s="237"/>
      <c r="I8" s="237"/>
      <c r="J8" s="984"/>
      <c r="K8" s="1457" t="s">
        <v>1312</v>
      </c>
      <c r="L8" s="1462"/>
      <c r="M8" s="230"/>
      <c r="N8" s="228"/>
    </row>
    <row r="9" spans="1:145" s="205" customFormat="1" x14ac:dyDescent="0.25">
      <c r="B9" s="229"/>
      <c r="C9" s="230"/>
      <c r="D9" s="410" t="s">
        <v>1407</v>
      </c>
      <c r="E9" s="237"/>
      <c r="F9" s="237"/>
      <c r="G9" s="237"/>
      <c r="H9" s="237"/>
      <c r="I9" s="237"/>
      <c r="J9" s="985"/>
      <c r="K9" s="1458"/>
      <c r="L9" s="988"/>
      <c r="M9" s="230"/>
      <c r="N9" s="228"/>
    </row>
    <row r="10" spans="1:145" s="205" customFormat="1" x14ac:dyDescent="0.25">
      <c r="B10" s="229"/>
      <c r="C10" s="230"/>
      <c r="D10" s="1569" t="s">
        <v>1</v>
      </c>
      <c r="E10" s="1570"/>
      <c r="F10" s="1570"/>
      <c r="G10" s="1570"/>
      <c r="H10" s="1570"/>
      <c r="I10" s="1570"/>
      <c r="J10" s="1570"/>
      <c r="K10" s="240"/>
      <c r="L10" s="1428"/>
      <c r="M10" s="230"/>
      <c r="N10" s="228"/>
    </row>
    <row r="11" spans="1:145" s="205" customFormat="1" ht="16.5" x14ac:dyDescent="0.3">
      <c r="B11" s="229"/>
      <c r="C11" s="230"/>
      <c r="D11" s="257" t="s">
        <v>1408</v>
      </c>
      <c r="E11" s="237"/>
      <c r="F11" s="237"/>
      <c r="G11" s="237"/>
      <c r="H11" s="237"/>
      <c r="I11" s="237"/>
      <c r="J11" s="984"/>
      <c r="K11" s="1459" t="s">
        <v>1119</v>
      </c>
      <c r="L11" s="1462"/>
      <c r="M11" s="230"/>
      <c r="N11" s="228"/>
    </row>
    <row r="12" spans="1:145" s="205" customFormat="1" ht="16.5" x14ac:dyDescent="0.3">
      <c r="B12" s="229"/>
      <c r="C12" s="230"/>
      <c r="D12" s="1959" t="s">
        <v>1409</v>
      </c>
      <c r="E12" s="1960"/>
      <c r="F12" s="1960"/>
      <c r="G12" s="1960"/>
      <c r="H12" s="1960"/>
      <c r="I12" s="1960"/>
      <c r="J12" s="984"/>
      <c r="K12" s="1460" t="s">
        <v>1119</v>
      </c>
      <c r="L12" s="1463"/>
      <c r="M12" s="230"/>
      <c r="N12" s="228"/>
    </row>
    <row r="13" spans="1:145" s="205" customFormat="1" x14ac:dyDescent="0.25">
      <c r="B13" s="229"/>
      <c r="C13" s="230"/>
      <c r="D13" s="257" t="s">
        <v>1410</v>
      </c>
      <c r="E13" s="237"/>
      <c r="F13" s="237"/>
      <c r="G13" s="237"/>
      <c r="H13" s="237"/>
      <c r="I13" s="237"/>
      <c r="J13" s="986"/>
      <c r="K13" s="1384" t="s">
        <v>13</v>
      </c>
      <c r="L13" s="1462"/>
      <c r="M13" s="230"/>
      <c r="N13" s="228"/>
    </row>
    <row r="14" spans="1:145" s="205" customFormat="1" ht="16.5" x14ac:dyDescent="0.3">
      <c r="B14" s="229"/>
      <c r="C14" s="230"/>
      <c r="D14" s="257" t="s">
        <v>1411</v>
      </c>
      <c r="E14" s="237"/>
      <c r="F14" s="237"/>
      <c r="G14" s="237"/>
      <c r="H14" s="237"/>
      <c r="I14" s="237"/>
      <c r="J14" s="984"/>
      <c r="K14" s="758" t="s">
        <v>1200</v>
      </c>
      <c r="L14" s="1462"/>
      <c r="M14" s="230"/>
      <c r="N14" s="228"/>
    </row>
    <row r="15" spans="1:145" s="205" customFormat="1" ht="16.5" x14ac:dyDescent="0.3">
      <c r="B15" s="229"/>
      <c r="C15" s="230"/>
      <c r="D15" s="257" t="s">
        <v>1412</v>
      </c>
      <c r="E15" s="237"/>
      <c r="F15" s="237"/>
      <c r="G15" s="237"/>
      <c r="H15" s="237"/>
      <c r="I15" s="237"/>
      <c r="J15" s="986"/>
      <c r="K15" s="1384" t="s">
        <v>13</v>
      </c>
      <c r="L15" s="1462"/>
      <c r="M15" s="230"/>
      <c r="N15" s="228"/>
    </row>
    <row r="16" spans="1:145" s="205" customFormat="1" x14ac:dyDescent="0.25">
      <c r="B16" s="229"/>
      <c r="C16" s="230"/>
      <c r="D16" s="1569" t="s">
        <v>2</v>
      </c>
      <c r="E16" s="1570"/>
      <c r="F16" s="1570"/>
      <c r="G16" s="1570"/>
      <c r="H16" s="1570"/>
      <c r="I16" s="1570"/>
      <c r="J16" s="1570"/>
      <c r="K16" s="1384"/>
      <c r="L16" s="1428"/>
      <c r="M16" s="230"/>
      <c r="N16" s="228"/>
    </row>
    <row r="17" spans="1:14" s="205" customFormat="1" ht="16.5" x14ac:dyDescent="0.3">
      <c r="A17" s="230"/>
      <c r="B17" s="229"/>
      <c r="C17" s="230"/>
      <c r="D17" s="257" t="s">
        <v>1413</v>
      </c>
      <c r="E17" s="237"/>
      <c r="F17" s="237"/>
      <c r="G17" s="237"/>
      <c r="H17" s="237"/>
      <c r="I17" s="237"/>
      <c r="J17" s="987"/>
      <c r="K17" s="1384" t="s">
        <v>13</v>
      </c>
      <c r="L17" s="1462"/>
      <c r="M17" s="230"/>
      <c r="N17" s="228"/>
    </row>
    <row r="18" spans="1:14" ht="16.5" x14ac:dyDescent="0.3">
      <c r="B18" s="92"/>
      <c r="C18" s="1"/>
      <c r="D18" s="257" t="s">
        <v>1414</v>
      </c>
      <c r="E18" s="237"/>
      <c r="F18" s="237"/>
      <c r="G18" s="237"/>
      <c r="H18" s="237"/>
      <c r="I18" s="237"/>
      <c r="J18" s="984"/>
      <c r="K18" s="1384" t="s">
        <v>13</v>
      </c>
      <c r="L18" s="1462"/>
      <c r="M18" s="1"/>
      <c r="N18" s="93"/>
    </row>
    <row r="19" spans="1:14" s="6" customFormat="1" ht="15.75" thickBot="1" x14ac:dyDescent="0.3">
      <c r="B19" s="92"/>
      <c r="C19" s="1"/>
      <c r="D19" s="260"/>
      <c r="E19" s="259"/>
      <c r="F19" s="259"/>
      <c r="G19" s="259"/>
      <c r="H19" s="259"/>
      <c r="I19" s="1071" t="s">
        <v>1464</v>
      </c>
      <c r="J19" s="1072"/>
      <c r="K19" s="1461" t="s">
        <v>13</v>
      </c>
      <c r="L19" s="1464" t="s">
        <v>1463</v>
      </c>
      <c r="M19" s="1"/>
      <c r="N19" s="93"/>
    </row>
    <row r="20" spans="1:14" x14ac:dyDescent="0.25">
      <c r="B20" s="92"/>
      <c r="C20" s="1"/>
      <c r="D20" s="1"/>
      <c r="E20" s="1"/>
      <c r="F20" s="1"/>
      <c r="G20" s="1"/>
      <c r="H20" s="1"/>
      <c r="I20" s="1"/>
      <c r="J20" s="1"/>
      <c r="K20" s="1"/>
      <c r="L20" s="1"/>
      <c r="M20" s="1"/>
      <c r="N20" s="93"/>
    </row>
    <row r="21" spans="1:14" x14ac:dyDescent="0.25">
      <c r="B21" s="92"/>
      <c r="C21" s="1"/>
      <c r="D21" s="1"/>
      <c r="E21" s="1"/>
      <c r="F21" s="1"/>
      <c r="G21" s="1"/>
      <c r="H21" s="1"/>
      <c r="I21" s="1"/>
      <c r="J21" s="1"/>
      <c r="K21" s="1"/>
      <c r="L21" s="1"/>
      <c r="M21" s="1"/>
      <c r="N21" s="93"/>
    </row>
    <row r="22" spans="1:14" s="205" customFormat="1" ht="15.75" x14ac:dyDescent="0.25">
      <c r="A22" s="228"/>
      <c r="B22" s="1583" t="s">
        <v>498</v>
      </c>
      <c r="C22" s="1584"/>
      <c r="D22" s="1584"/>
      <c r="E22" s="1584"/>
      <c r="F22" s="1584"/>
      <c r="G22" s="1584"/>
      <c r="H22" s="1584"/>
      <c r="I22" s="1584"/>
      <c r="J22" s="1584"/>
      <c r="K22" s="1584"/>
      <c r="L22" s="1584"/>
      <c r="M22" s="1584"/>
      <c r="N22" s="1585"/>
    </row>
    <row r="23" spans="1:14" s="205" customFormat="1" ht="18.75" x14ac:dyDescent="0.3">
      <c r="B23" s="1526"/>
      <c r="C23" s="1524"/>
      <c r="D23" s="1524"/>
      <c r="E23" s="1524"/>
      <c r="F23" s="1524"/>
      <c r="G23" s="1524"/>
      <c r="H23" s="1524"/>
      <c r="I23" s="1524"/>
      <c r="J23" s="1524"/>
      <c r="K23" s="1524"/>
      <c r="L23" s="1524"/>
      <c r="M23" s="1524"/>
      <c r="N23" s="1525"/>
    </row>
    <row r="24" spans="1:14" s="313" customFormat="1" ht="16.5" thickBot="1" x14ac:dyDescent="0.3">
      <c r="B24" s="314"/>
      <c r="C24" s="315"/>
      <c r="D24" s="1613" t="s">
        <v>1</v>
      </c>
      <c r="E24" s="1613"/>
      <c r="F24" s="1613"/>
      <c r="G24" s="315"/>
      <c r="H24" s="315"/>
      <c r="I24" s="316" t="s">
        <v>2</v>
      </c>
      <c r="J24" s="316"/>
      <c r="K24" s="316"/>
      <c r="L24" s="317"/>
      <c r="M24" s="315"/>
      <c r="N24" s="318"/>
    </row>
    <row r="25" spans="1:14" s="313" customFormat="1" ht="18.75" x14ac:dyDescent="0.35">
      <c r="B25" s="314"/>
      <c r="C25" s="315"/>
      <c r="D25" s="457" t="s">
        <v>1313</v>
      </c>
      <c r="E25" s="595"/>
      <c r="F25" s="596" t="str">
        <f>IF(J11="","",J11-J12)</f>
        <v/>
      </c>
      <c r="G25" s="458" t="s">
        <v>556</v>
      </c>
      <c r="H25" s="315"/>
      <c r="I25" s="576" t="s">
        <v>1314</v>
      </c>
      <c r="J25" s="924"/>
      <c r="K25" s="480" t="str">
        <f>IFERROR(J8/J9,"")</f>
        <v/>
      </c>
      <c r="L25" s="276" t="s">
        <v>1120</v>
      </c>
      <c r="M25" s="315"/>
      <c r="N25" s="318"/>
    </row>
    <row r="26" spans="1:14" s="313" customFormat="1" ht="16.5" thickBot="1" x14ac:dyDescent="0.3">
      <c r="B26" s="314"/>
      <c r="C26" s="315"/>
      <c r="D26" s="597" t="s">
        <v>1314</v>
      </c>
      <c r="E26" s="598"/>
      <c r="F26" s="599" t="str">
        <f>IFERROR(J8/J9,"")</f>
        <v/>
      </c>
      <c r="G26" s="600" t="s">
        <v>1120</v>
      </c>
      <c r="H26" s="315"/>
      <c r="I26" s="573" t="s">
        <v>506</v>
      </c>
      <c r="J26" s="1958" t="str">
        <f>IFERROR(K25*(J17+J18+J19),"")</f>
        <v/>
      </c>
      <c r="K26" s="1958"/>
      <c r="L26" s="856" t="s">
        <v>13</v>
      </c>
      <c r="M26" s="315"/>
      <c r="N26" s="318"/>
    </row>
    <row r="27" spans="1:14" s="313" customFormat="1" ht="15.75" x14ac:dyDescent="0.25">
      <c r="B27" s="314"/>
      <c r="C27" s="315"/>
      <c r="D27" s="597" t="s">
        <v>1213</v>
      </c>
      <c r="E27" s="1956" t="str">
        <f>IFERROR(F26*J15+J13,"")</f>
        <v/>
      </c>
      <c r="F27" s="1956"/>
      <c r="G27" s="982" t="s">
        <v>13</v>
      </c>
      <c r="H27" s="315"/>
      <c r="I27" s="315"/>
      <c r="J27" s="317"/>
      <c r="K27" s="317"/>
      <c r="L27" s="315"/>
      <c r="M27" s="315"/>
      <c r="N27" s="318"/>
    </row>
    <row r="28" spans="1:14" s="313" customFormat="1" ht="16.5" thickBot="1" x14ac:dyDescent="0.3">
      <c r="B28" s="314"/>
      <c r="C28" s="315"/>
      <c r="D28" s="601" t="s">
        <v>1214</v>
      </c>
      <c r="E28" s="1957" t="str">
        <f>IFERROR(-(F25*J14),"")</f>
        <v/>
      </c>
      <c r="F28" s="1957"/>
      <c r="G28" s="983" t="s">
        <v>13</v>
      </c>
      <c r="H28" s="416"/>
      <c r="I28" s="315"/>
      <c r="J28" s="315"/>
      <c r="K28" s="315"/>
      <c r="L28" s="315"/>
      <c r="M28" s="315"/>
      <c r="N28" s="318"/>
    </row>
    <row r="29" spans="1:14" s="313" customFormat="1" ht="15.75" x14ac:dyDescent="0.25">
      <c r="B29" s="602"/>
      <c r="C29" s="317"/>
      <c r="D29" s="317"/>
      <c r="E29" s="317"/>
      <c r="F29" s="317"/>
      <c r="G29" s="603"/>
      <c r="H29" s="317"/>
      <c r="I29" s="317"/>
      <c r="J29" s="317"/>
      <c r="K29" s="317"/>
      <c r="L29" s="317"/>
      <c r="M29" s="317"/>
      <c r="N29" s="604"/>
    </row>
    <row r="30" spans="1:14" s="313" customFormat="1" ht="15.75" x14ac:dyDescent="0.25">
      <c r="B30" s="602"/>
      <c r="C30" s="317"/>
      <c r="D30" s="317"/>
      <c r="E30" s="317"/>
      <c r="F30" s="317"/>
      <c r="G30" s="317"/>
      <c r="H30" s="317"/>
      <c r="I30" s="317"/>
      <c r="J30" s="317"/>
      <c r="K30" s="317"/>
      <c r="L30" s="317"/>
      <c r="M30" s="317"/>
      <c r="N30" s="604"/>
    </row>
    <row r="31" spans="1:14" s="313" customFormat="1" ht="15.75" x14ac:dyDescent="0.25">
      <c r="A31" s="604"/>
      <c r="B31" s="1616" t="s">
        <v>1585</v>
      </c>
      <c r="C31" s="1617"/>
      <c r="D31" s="1617"/>
      <c r="E31" s="1617"/>
      <c r="F31" s="1617"/>
      <c r="G31" s="1617"/>
      <c r="H31" s="1617"/>
      <c r="I31" s="1617"/>
      <c r="J31" s="1617"/>
      <c r="K31" s="1617"/>
      <c r="L31" s="1617"/>
      <c r="M31" s="1617"/>
      <c r="N31" s="1618"/>
    </row>
    <row r="32" spans="1:14" s="313" customFormat="1" ht="15.75" x14ac:dyDescent="0.25">
      <c r="B32" s="1527"/>
      <c r="C32" s="1528"/>
      <c r="D32" s="1529"/>
      <c r="E32" s="1528"/>
      <c r="F32" s="1528"/>
      <c r="G32" s="1512"/>
      <c r="H32" s="1512"/>
      <c r="I32" s="1512"/>
      <c r="J32" s="1499"/>
      <c r="K32" s="1499"/>
      <c r="L32" s="1528"/>
      <c r="M32" s="1528"/>
      <c r="N32" s="1530"/>
    </row>
    <row r="33" spans="2:15" s="319" customFormat="1" ht="15.75" x14ac:dyDescent="0.25">
      <c r="B33" s="605"/>
      <c r="C33" s="320"/>
      <c r="D33" s="13" t="s">
        <v>1315</v>
      </c>
      <c r="E33" s="320"/>
      <c r="G33" s="925"/>
      <c r="H33" s="925"/>
      <c r="I33" s="925"/>
      <c r="J33" s="30"/>
      <c r="K33" s="30"/>
      <c r="L33" s="320"/>
      <c r="M33" s="320"/>
      <c r="N33" s="606"/>
      <c r="O33" s="320"/>
    </row>
    <row r="34" spans="2:15" s="2" customFormat="1" ht="15.75" customHeight="1" x14ac:dyDescent="0.25">
      <c r="B34" s="51"/>
      <c r="C34" s="577"/>
      <c r="D34" s="1967" t="s">
        <v>1345</v>
      </c>
      <c r="E34" s="1968"/>
      <c r="F34" s="1970" t="s">
        <v>1</v>
      </c>
      <c r="G34" s="1971"/>
      <c r="H34" s="1971"/>
      <c r="I34" s="1972"/>
      <c r="J34" s="1963" t="s">
        <v>2</v>
      </c>
      <c r="K34" s="1964"/>
      <c r="M34" s="577"/>
      <c r="N34" s="4"/>
    </row>
    <row r="35" spans="2:15" s="2" customFormat="1" ht="15.75" customHeight="1" x14ac:dyDescent="0.35">
      <c r="B35" s="51"/>
      <c r="C35" s="607"/>
      <c r="D35" s="1969"/>
      <c r="E35" s="1612"/>
      <c r="F35" s="656" t="s">
        <v>1313</v>
      </c>
      <c r="G35" s="662" t="s">
        <v>1314</v>
      </c>
      <c r="H35" s="981" t="s">
        <v>1346</v>
      </c>
      <c r="I35" s="981" t="s">
        <v>1344</v>
      </c>
      <c r="J35" s="663" t="s">
        <v>1314</v>
      </c>
      <c r="K35" s="663" t="s">
        <v>1337</v>
      </c>
      <c r="M35" s="607"/>
      <c r="N35" s="4"/>
    </row>
    <row r="36" spans="2:15" s="2" customFormat="1" ht="15" customHeight="1" x14ac:dyDescent="0.25">
      <c r="B36" s="51"/>
      <c r="C36" s="577"/>
      <c r="D36" s="1965"/>
      <c r="E36" s="1966"/>
      <c r="F36" s="989"/>
      <c r="G36" s="990"/>
      <c r="H36" s="991"/>
      <c r="I36" s="991"/>
      <c r="J36" s="990"/>
      <c r="K36" s="992"/>
      <c r="M36" s="577"/>
      <c r="N36" s="4"/>
    </row>
    <row r="37" spans="2:15" s="2" customFormat="1" ht="15" customHeight="1" x14ac:dyDescent="0.25">
      <c r="B37" s="51"/>
      <c r="C37" s="577"/>
      <c r="D37" s="1965"/>
      <c r="E37" s="1966"/>
      <c r="F37" s="989"/>
      <c r="G37" s="990"/>
      <c r="H37" s="993"/>
      <c r="I37" s="993"/>
      <c r="J37" s="994"/>
      <c r="K37" s="992"/>
      <c r="M37" s="577"/>
      <c r="N37" s="4"/>
    </row>
    <row r="38" spans="2:15" s="2" customFormat="1" ht="15" customHeight="1" x14ac:dyDescent="0.25">
      <c r="B38" s="51"/>
      <c r="C38" s="577"/>
      <c r="D38" s="1965"/>
      <c r="E38" s="1966"/>
      <c r="F38" s="990"/>
      <c r="G38" s="990"/>
      <c r="H38" s="993"/>
      <c r="I38" s="993"/>
      <c r="J38" s="994"/>
      <c r="K38" s="992"/>
      <c r="M38" s="577"/>
      <c r="N38" s="4"/>
    </row>
    <row r="39" spans="2:15" s="2" customFormat="1" ht="15" customHeight="1" x14ac:dyDescent="0.25">
      <c r="B39" s="51"/>
      <c r="C39" s="577"/>
      <c r="D39" s="1961"/>
      <c r="E39" s="1962"/>
      <c r="F39" s="995"/>
      <c r="G39" s="995"/>
      <c r="H39" s="996"/>
      <c r="I39" s="996"/>
      <c r="J39" s="997"/>
      <c r="K39" s="998"/>
      <c r="M39" s="577"/>
      <c r="N39" s="4"/>
    </row>
    <row r="40" spans="2:15" s="2" customFormat="1" x14ac:dyDescent="0.25">
      <c r="B40" s="51"/>
      <c r="C40" s="577"/>
      <c r="D40" s="1961"/>
      <c r="E40" s="1962"/>
      <c r="F40" s="995"/>
      <c r="G40" s="995"/>
      <c r="H40" s="996"/>
      <c r="I40" s="996"/>
      <c r="J40" s="995"/>
      <c r="K40" s="998"/>
      <c r="M40" s="577"/>
      <c r="N40" s="4"/>
    </row>
    <row r="41" spans="2:15" s="2" customFormat="1" ht="15.75" thickBot="1" x14ac:dyDescent="0.3">
      <c r="B41" s="51"/>
      <c r="C41" s="577"/>
      <c r="D41" s="1961"/>
      <c r="E41" s="1962"/>
      <c r="F41" s="995"/>
      <c r="G41" s="995"/>
      <c r="H41" s="996"/>
      <c r="I41" s="996"/>
      <c r="J41" s="995"/>
      <c r="K41" s="998"/>
      <c r="M41" s="577"/>
      <c r="N41" s="4"/>
    </row>
    <row r="42" spans="2:15" s="2" customFormat="1" ht="16.5" thickBot="1" x14ac:dyDescent="0.3">
      <c r="B42" s="51"/>
      <c r="C42" s="577"/>
      <c r="D42" s="925"/>
      <c r="E42" s="925"/>
      <c r="F42" s="925"/>
      <c r="G42" s="925"/>
      <c r="H42" s="677">
        <f>SUM(H36:H41)</f>
        <v>0</v>
      </c>
      <c r="I42" s="678">
        <f>SUM(I36:I41)</f>
        <v>0</v>
      </c>
      <c r="J42" s="925"/>
      <c r="K42" s="676">
        <f>SUM(J38:K39)</f>
        <v>0</v>
      </c>
      <c r="L42" s="925"/>
      <c r="M42" s="577"/>
      <c r="N42" s="4"/>
    </row>
    <row r="43" spans="2:15" ht="15.75" thickBot="1" x14ac:dyDescent="0.3">
      <c r="B43" s="281"/>
      <c r="C43" s="107"/>
      <c r="D43" s="107"/>
      <c r="E43" s="107"/>
      <c r="F43" s="107"/>
      <c r="G43" s="107"/>
      <c r="H43" s="107"/>
      <c r="I43" s="107"/>
      <c r="J43" s="107"/>
      <c r="K43" s="107"/>
      <c r="L43" s="107"/>
      <c r="M43" s="107"/>
      <c r="N43" s="109"/>
    </row>
    <row r="44" spans="2:15" ht="15.75" thickTop="1" x14ac:dyDescent="0.25"/>
  </sheetData>
  <sheetProtection insertRows="0"/>
  <mergeCells count="20">
    <mergeCell ref="D41:E41"/>
    <mergeCell ref="J34:K34"/>
    <mergeCell ref="D36:E36"/>
    <mergeCell ref="D37:E37"/>
    <mergeCell ref="D38:E38"/>
    <mergeCell ref="D39:E39"/>
    <mergeCell ref="D40:E40"/>
    <mergeCell ref="D34:E35"/>
    <mergeCell ref="F34:I34"/>
    <mergeCell ref="B1:N1"/>
    <mergeCell ref="B5:N5"/>
    <mergeCell ref="D12:I12"/>
    <mergeCell ref="B22:N22"/>
    <mergeCell ref="D10:J10"/>
    <mergeCell ref="D16:J16"/>
    <mergeCell ref="B31:N31"/>
    <mergeCell ref="D24:F24"/>
    <mergeCell ref="E27:F27"/>
    <mergeCell ref="E28:F28"/>
    <mergeCell ref="J26:K26"/>
  </mergeCells>
  <dataValidations count="1">
    <dataValidation allowBlank="1" showErrorMessage="1" prompt="Inserir unidade" sqref="K13 K18:K19 K15"/>
  </dataValidations>
  <pageMargins left="0.511811024" right="0.511811024" top="0.78740157499999996" bottom="0.78740157499999996" header="0.31496062000000002" footer="0.31496062000000002"/>
  <drawing r:id="rId1"/>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3978"/>
  </sheetPr>
  <dimension ref="A1:BV43"/>
  <sheetViews>
    <sheetView showGridLines="0" zoomScaleNormal="100" workbookViewId="0">
      <selection activeCell="O38" sqref="O38"/>
    </sheetView>
  </sheetViews>
  <sheetFormatPr defaultColWidth="8.85546875" defaultRowHeight="15" outlineLevelRow="1" x14ac:dyDescent="0.25"/>
  <cols>
    <col min="1" max="1" width="2" customWidth="1"/>
    <col min="2" max="2" width="6.5703125" customWidth="1"/>
    <col min="3" max="3" width="12.140625" customWidth="1"/>
    <col min="4" max="4" width="10.42578125" customWidth="1"/>
    <col min="5" max="5" width="7.5703125" customWidth="1"/>
    <col min="6" max="6" width="13.42578125" customWidth="1"/>
    <col min="8" max="8" width="8" customWidth="1"/>
    <col min="9" max="9" width="9.85546875" customWidth="1"/>
    <col min="11" max="11" width="7" customWidth="1"/>
    <col min="12" max="12" width="9.5703125" bestFit="1" customWidth="1"/>
    <col min="14" max="14" width="6.85546875" customWidth="1"/>
    <col min="15" max="15" width="14" customWidth="1"/>
    <col min="17" max="17" width="6.85546875" customWidth="1"/>
    <col min="18" max="18" width="9.5703125" bestFit="1" customWidth="1"/>
    <col min="20" max="20" width="7.140625" customWidth="1"/>
    <col min="21" max="21" width="14.42578125" customWidth="1"/>
    <col min="23" max="24" width="11" customWidth="1"/>
  </cols>
  <sheetData>
    <row r="1" spans="1:74" s="110" customFormat="1" ht="15" customHeight="1" x14ac:dyDescent="0.25">
      <c r="A1" s="1994" t="s">
        <v>1518</v>
      </c>
      <c r="B1" s="1994"/>
      <c r="C1" s="1994"/>
      <c r="D1" s="1994"/>
      <c r="E1" s="1994"/>
      <c r="F1" s="1994"/>
      <c r="G1" s="1994"/>
      <c r="H1" s="1994"/>
      <c r="I1" s="1994"/>
      <c r="J1" s="1994"/>
      <c r="K1" s="1994"/>
      <c r="L1" s="1994"/>
      <c r="M1" s="1994"/>
      <c r="N1" s="1994"/>
      <c r="O1" s="1994"/>
      <c r="P1" s="1994"/>
      <c r="Q1" s="1994"/>
      <c r="R1" s="1994"/>
      <c r="S1" s="1994"/>
      <c r="T1" s="1994"/>
      <c r="U1" s="1994"/>
      <c r="V1" s="1994"/>
      <c r="W1" s="1994"/>
      <c r="X1" s="1994"/>
      <c r="Y1" s="1994"/>
      <c r="Z1" s="1994"/>
      <c r="AA1" s="1994"/>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row>
    <row r="3" spans="1:74" s="6" customFormat="1" ht="63" customHeight="1" x14ac:dyDescent="0.25">
      <c r="E3" s="1938" t="s">
        <v>1570</v>
      </c>
      <c r="F3" s="1938"/>
      <c r="G3" s="1938"/>
      <c r="H3" s="1938"/>
      <c r="I3" s="1938"/>
      <c r="J3" s="1938"/>
      <c r="K3" s="1938"/>
      <c r="L3" s="1938"/>
      <c r="M3" s="1938"/>
      <c r="N3" s="1938"/>
      <c r="O3" s="1938"/>
      <c r="P3" s="1938"/>
      <c r="Q3" s="1938"/>
      <c r="R3" s="1938"/>
      <c r="S3" s="1938"/>
      <c r="T3" s="1938"/>
      <c r="U3" s="1938"/>
    </row>
    <row r="4" spans="1:74" s="6" customFormat="1" x14ac:dyDescent="0.25"/>
    <row r="5" spans="1:74" s="6" customFormat="1" ht="15" customHeight="1" thickBot="1" x14ac:dyDescent="0.3"/>
    <row r="6" spans="1:74" s="1235" customFormat="1" ht="30" customHeight="1" thickBot="1" x14ac:dyDescent="0.3">
      <c r="B6" s="1991" t="s">
        <v>1416</v>
      </c>
      <c r="C6" s="1992"/>
      <c r="D6" s="1992"/>
      <c r="E6" s="1991" t="s">
        <v>1511</v>
      </c>
      <c r="F6" s="1992"/>
      <c r="G6" s="1993"/>
    </row>
    <row r="7" spans="1:74" s="1292" customFormat="1" x14ac:dyDescent="0.25">
      <c r="B7" s="1251" t="s">
        <v>1519</v>
      </c>
      <c r="C7" s="1246" t="str">
        <f>'Provisão de Água'!D26</f>
        <v/>
      </c>
      <c r="D7" s="1252" t="str">
        <f>'Provisão de Água'!E26</f>
        <v/>
      </c>
      <c r="E7" s="1253" t="s">
        <v>1141</v>
      </c>
      <c r="F7" s="1254" t="str">
        <f>'Provisão Biomassa Combustível'!D34</f>
        <v/>
      </c>
      <c r="G7" s="1255"/>
    </row>
    <row r="8" spans="1:74" s="1292" customFormat="1" ht="15.75" thickBot="1" x14ac:dyDescent="0.3">
      <c r="B8" s="1256" t="s">
        <v>506</v>
      </c>
      <c r="C8" s="1247" t="str">
        <f>'Provisão de Água'!D27</f>
        <v/>
      </c>
      <c r="D8" s="1257" t="s">
        <v>13</v>
      </c>
      <c r="E8" s="1256" t="s">
        <v>506</v>
      </c>
      <c r="F8" s="1258" t="str">
        <f>'Provisão Biomassa Combustível'!D35</f>
        <v/>
      </c>
      <c r="G8" s="1259" t="s">
        <v>13</v>
      </c>
    </row>
    <row r="9" spans="1:74" s="1292" customFormat="1" x14ac:dyDescent="0.25">
      <c r="B9" s="1260" t="s">
        <v>26</v>
      </c>
      <c r="C9" s="1248" t="str">
        <f>'Provisão de Água'!H26</f>
        <v/>
      </c>
      <c r="D9" s="1261" t="s">
        <v>519</v>
      </c>
      <c r="E9" s="1260" t="s">
        <v>26</v>
      </c>
      <c r="F9" s="1248" t="str">
        <f>'Provisão Biomassa Combustível'!H34</f>
        <v/>
      </c>
      <c r="G9" s="1262" t="str">
        <f>'Provisão Biomassa Combustível'!I34</f>
        <v/>
      </c>
    </row>
    <row r="10" spans="1:74" s="1292" customFormat="1" ht="15.75" thickBot="1" x14ac:dyDescent="0.3">
      <c r="B10" s="1263" t="s">
        <v>506</v>
      </c>
      <c r="C10" s="1249" t="str">
        <f>'Provisão de Água'!H27</f>
        <v/>
      </c>
      <c r="D10" s="1264" t="s">
        <v>13</v>
      </c>
      <c r="E10" s="1263" t="s">
        <v>504</v>
      </c>
      <c r="F10" s="1249" t="str">
        <f>'Provisão Biomassa Combustível'!H35</f>
        <v/>
      </c>
      <c r="G10" s="1265" t="s">
        <v>13</v>
      </c>
    </row>
    <row r="11" spans="1:74" s="1292" customFormat="1" ht="16.5" x14ac:dyDescent="0.3">
      <c r="B11" s="1266" t="s">
        <v>27</v>
      </c>
      <c r="C11" s="1278" t="str">
        <f>'Provisão de Água'!L26</f>
        <v/>
      </c>
      <c r="D11" s="1267" t="str">
        <f>'Provisão de Água'!M26</f>
        <v>m³</v>
      </c>
      <c r="E11" s="1268" t="s">
        <v>1531</v>
      </c>
      <c r="F11" s="1278" t="str">
        <f>'Provisão Biomassa Combustível'!L34</f>
        <v/>
      </c>
      <c r="G11" s="1269"/>
    </row>
    <row r="12" spans="1:74" s="1292" customFormat="1" ht="16.5" x14ac:dyDescent="0.3">
      <c r="B12" s="1266" t="s">
        <v>506</v>
      </c>
      <c r="C12" s="1278" t="str">
        <f>'Provisão de Água'!L27</f>
        <v/>
      </c>
      <c r="D12" s="1267" t="s">
        <v>13</v>
      </c>
      <c r="E12" s="1232" t="s">
        <v>1532</v>
      </c>
      <c r="F12" s="1278" t="str">
        <f>'Provisão Biomassa Combustível'!L35</f>
        <v/>
      </c>
      <c r="G12" s="1270" t="s">
        <v>1333</v>
      </c>
    </row>
    <row r="13" spans="1:74" s="1292" customFormat="1" ht="15.75" thickBot="1" x14ac:dyDescent="0.3">
      <c r="B13" s="1271"/>
      <c r="C13" s="1250"/>
      <c r="D13" s="1272"/>
      <c r="E13" s="1271" t="s">
        <v>506</v>
      </c>
      <c r="F13" s="1283" t="str">
        <f>'Provisão Biomassa Combustível'!L36</f>
        <v/>
      </c>
      <c r="G13" s="1273" t="s">
        <v>13</v>
      </c>
      <c r="Z13" s="192"/>
      <c r="AA13" s="29"/>
    </row>
    <row r="14" spans="1:74" s="1292" customFormat="1" x14ac:dyDescent="0.25">
      <c r="Z14" s="192"/>
      <c r="AA14" s="29"/>
    </row>
    <row r="15" spans="1:74" s="1292" customFormat="1" ht="15.75" thickBot="1" x14ac:dyDescent="0.3">
      <c r="Z15" s="192"/>
      <c r="AA15" s="29"/>
    </row>
    <row r="16" spans="1:74" s="1234" customFormat="1" ht="47.25" customHeight="1" thickBot="1" x14ac:dyDescent="0.3">
      <c r="B16" s="1991" t="s">
        <v>1520</v>
      </c>
      <c r="C16" s="1992"/>
      <c r="D16" s="1993"/>
      <c r="E16" s="1991" t="s">
        <v>1527</v>
      </c>
      <c r="F16" s="1992"/>
      <c r="G16" s="1993"/>
      <c r="H16" s="1991" t="s">
        <v>1522</v>
      </c>
      <c r="I16" s="1992"/>
      <c r="J16" s="1993"/>
      <c r="K16" s="1991" t="s">
        <v>1523</v>
      </c>
      <c r="L16" s="1992"/>
      <c r="M16" s="1993"/>
      <c r="N16" s="1991" t="s">
        <v>1521</v>
      </c>
      <c r="O16" s="1992"/>
      <c r="P16" s="1993"/>
      <c r="Q16" s="1991" t="s">
        <v>1524</v>
      </c>
      <c r="R16" s="1992"/>
      <c r="S16" s="1993"/>
      <c r="T16" s="1991" t="s">
        <v>1525</v>
      </c>
      <c r="U16" s="1992"/>
      <c r="V16" s="1992"/>
      <c r="W16" s="1993"/>
      <c r="X16" s="2000" t="s">
        <v>1526</v>
      </c>
      <c r="Y16" s="2001"/>
      <c r="Z16" s="2001"/>
      <c r="AA16" s="2002"/>
    </row>
    <row r="17" spans="2:27" s="1292" customFormat="1" ht="16.5" x14ac:dyDescent="0.3">
      <c r="B17" s="1293" t="s">
        <v>31</v>
      </c>
      <c r="C17" s="1294" t="str">
        <f>'Regulação Qualidade da Água'!D28</f>
        <v/>
      </c>
      <c r="D17" s="1295" t="str">
        <f>'Regulação Qualidade da Água'!E28</f>
        <v/>
      </c>
      <c r="E17" s="1253"/>
      <c r="F17" s="1252"/>
      <c r="G17" s="1296"/>
      <c r="H17" s="1253"/>
      <c r="I17" s="1252"/>
      <c r="J17" s="1296"/>
      <c r="K17" s="1253"/>
      <c r="L17" s="1252"/>
      <c r="M17" s="1296"/>
      <c r="N17" s="1253" t="s">
        <v>1536</v>
      </c>
      <c r="O17" s="1534">
        <f>IFERROR('Apoio Regulação de Polinização'!AC25,"")</f>
        <v>0</v>
      </c>
      <c r="P17" s="1296"/>
      <c r="Q17" s="1253" t="s">
        <v>1537</v>
      </c>
      <c r="R17" s="1252" t="str">
        <f>IFERROR('Regulação de polinização'!E146:F146,"")</f>
        <v/>
      </c>
      <c r="S17" s="1296"/>
      <c r="T17" s="1253" t="s">
        <v>1538</v>
      </c>
      <c r="U17" s="1252" t="s">
        <v>1191</v>
      </c>
      <c r="V17" s="1297" t="str">
        <f>IFERROR('Regulação da Erosão do Solo'!F69,"")</f>
        <v/>
      </c>
      <c r="W17" s="1298" t="s">
        <v>1188</v>
      </c>
      <c r="X17" s="1299" t="s">
        <v>1203</v>
      </c>
      <c r="Y17" s="1996" t="str">
        <f>IFERROR('Regulação da Erosão do Solo'!D143:E143,"")</f>
        <v/>
      </c>
      <c r="Z17" s="1996"/>
      <c r="AA17" s="1300" t="s">
        <v>1299</v>
      </c>
    </row>
    <row r="18" spans="2:27" s="1292" customFormat="1" x14ac:dyDescent="0.25">
      <c r="B18" s="1301" t="s">
        <v>506</v>
      </c>
      <c r="C18" s="1302" t="str">
        <f>'Regulação Qualidade da Água'!D29</f>
        <v/>
      </c>
      <c r="D18" s="1303" t="s">
        <v>13</v>
      </c>
      <c r="E18" s="1301"/>
      <c r="F18" s="1304"/>
      <c r="G18" s="1303"/>
      <c r="H18" s="1301"/>
      <c r="I18" s="1304"/>
      <c r="J18" s="1303"/>
      <c r="K18" s="1301"/>
      <c r="L18" s="1304"/>
      <c r="M18" s="1303"/>
      <c r="N18" s="1301" t="s">
        <v>506</v>
      </c>
      <c r="O18" s="1535" t="str">
        <f>'Regulação de polinização'!D31</f>
        <v>-</v>
      </c>
      <c r="P18" s="1303" t="s">
        <v>13</v>
      </c>
      <c r="Q18" s="1301" t="s">
        <v>1129</v>
      </c>
      <c r="R18" s="1304" t="str">
        <f>IFERROR('Regulação de polinização'!E147:F147,"")</f>
        <v/>
      </c>
      <c r="S18" s="1303" t="s">
        <v>13</v>
      </c>
      <c r="T18" s="1305"/>
      <c r="U18" s="1304" t="s">
        <v>1192</v>
      </c>
      <c r="V18" s="1306" t="str">
        <f>IFERROR('Regulação da Erosão do Solo'!F70,"")</f>
        <v/>
      </c>
      <c r="W18" s="1307" t="s">
        <v>1188</v>
      </c>
      <c r="X18" s="1308" t="s">
        <v>504</v>
      </c>
      <c r="Y18" s="1997" t="str">
        <f>IFERROR('Regulação da Erosão do Solo'!D144:E144,"")</f>
        <v/>
      </c>
      <c r="Z18" s="1997"/>
      <c r="AA18" s="1309" t="s">
        <v>13</v>
      </c>
    </row>
    <row r="19" spans="2:27" s="1292" customFormat="1" x14ac:dyDescent="0.25">
      <c r="B19" s="1301"/>
      <c r="C19" s="1304"/>
      <c r="D19" s="1303"/>
      <c r="E19" s="1301"/>
      <c r="F19" s="1304"/>
      <c r="G19" s="1303"/>
      <c r="H19" s="1301"/>
      <c r="I19" s="1304"/>
      <c r="J19" s="1303"/>
      <c r="K19" s="1301"/>
      <c r="L19" s="1304"/>
      <c r="M19" s="1303"/>
      <c r="N19" s="1301"/>
      <c r="O19" s="1304"/>
      <c r="P19" s="1303"/>
      <c r="Q19" s="1301"/>
      <c r="R19" s="1304"/>
      <c r="S19" s="1303"/>
      <c r="T19" s="1305"/>
      <c r="U19" s="1304" t="s">
        <v>1193</v>
      </c>
      <c r="V19" s="1308" t="str">
        <f>IFERROR('Regulação da Erosão do Solo'!F71,"")</f>
        <v/>
      </c>
      <c r="W19" s="1307" t="s">
        <v>1188</v>
      </c>
      <c r="X19" s="1304"/>
      <c r="Y19" s="1304"/>
      <c r="Z19" s="1304"/>
      <c r="AA19" s="1303"/>
    </row>
    <row r="20" spans="2:27" s="1292" customFormat="1" hidden="1" outlineLevel="1" x14ac:dyDescent="0.25">
      <c r="B20" s="1301"/>
      <c r="C20" s="1304"/>
      <c r="D20" s="1303"/>
      <c r="E20" s="1301"/>
      <c r="F20" s="1304"/>
      <c r="G20" s="1303"/>
      <c r="H20" s="1301"/>
      <c r="I20" s="1304"/>
      <c r="J20" s="1303"/>
      <c r="K20" s="1301"/>
      <c r="L20" s="1304"/>
      <c r="M20" s="1303"/>
      <c r="N20" s="1301"/>
      <c r="O20" s="1304"/>
      <c r="P20" s="1303"/>
      <c r="Q20" s="1301"/>
      <c r="R20" s="1304"/>
      <c r="S20" s="1303"/>
      <c r="T20" s="1305"/>
      <c r="U20" s="1304" t="e">
        <f>#REF!</f>
        <v>#REF!</v>
      </c>
      <c r="V20" s="1308"/>
      <c r="W20" s="1307" t="s">
        <v>1188</v>
      </c>
      <c r="X20" s="1304"/>
      <c r="Y20" s="1304"/>
      <c r="Z20" s="1304"/>
      <c r="AA20" s="1303"/>
    </row>
    <row r="21" spans="2:27" s="1292" customFormat="1" hidden="1" outlineLevel="1" x14ac:dyDescent="0.25">
      <c r="B21" s="1301"/>
      <c r="C21" s="1304"/>
      <c r="D21" s="1303"/>
      <c r="E21" s="1301"/>
      <c r="F21" s="1304"/>
      <c r="G21" s="1303"/>
      <c r="H21" s="1301"/>
      <c r="I21" s="1304"/>
      <c r="J21" s="1303"/>
      <c r="K21" s="1301"/>
      <c r="L21" s="1304"/>
      <c r="M21" s="1303"/>
      <c r="N21" s="1301"/>
      <c r="O21" s="1304"/>
      <c r="P21" s="1303"/>
      <c r="Q21" s="1301"/>
      <c r="R21" s="1304"/>
      <c r="S21" s="1303"/>
      <c r="T21" s="1305"/>
      <c r="U21" s="1304" t="e">
        <f>#REF!</f>
        <v>#REF!</v>
      </c>
      <c r="V21" s="1308"/>
      <c r="W21" s="1307" t="s">
        <v>1188</v>
      </c>
      <c r="X21" s="1304"/>
      <c r="Y21" s="1304"/>
      <c r="Z21" s="1304"/>
      <c r="AA21" s="1303"/>
    </row>
    <row r="22" spans="2:27" s="1292" customFormat="1" ht="15.75" collapsed="1" thickBot="1" x14ac:dyDescent="0.3">
      <c r="B22" s="1256"/>
      <c r="C22" s="1310"/>
      <c r="D22" s="1311"/>
      <c r="E22" s="1256"/>
      <c r="F22" s="1310"/>
      <c r="G22" s="1311"/>
      <c r="H22" s="1256"/>
      <c r="I22" s="1310"/>
      <c r="J22" s="1311"/>
      <c r="K22" s="1256"/>
      <c r="L22" s="1310"/>
      <c r="M22" s="1311"/>
      <c r="N22" s="1256"/>
      <c r="O22" s="1310"/>
      <c r="P22" s="1311"/>
      <c r="Q22" s="1256"/>
      <c r="R22" s="1310"/>
      <c r="S22" s="1311"/>
      <c r="T22" s="1256" t="s">
        <v>504</v>
      </c>
      <c r="U22" s="1312"/>
      <c r="V22" s="1258" t="str">
        <f>IFERROR('Regulação da Erosão do Solo'!E74:F74,"")</f>
        <v/>
      </c>
      <c r="W22" s="1313" t="s">
        <v>13</v>
      </c>
      <c r="X22" s="1310"/>
      <c r="Y22" s="1310"/>
      <c r="Z22" s="1310"/>
      <c r="AA22" s="1311"/>
    </row>
    <row r="23" spans="2:27" s="1292" customFormat="1" ht="16.5" x14ac:dyDescent="0.3">
      <c r="B23" s="1260" t="s">
        <v>33</v>
      </c>
      <c r="C23" s="1314" t="str">
        <f>'Regulação Qualidade da Água'!H28</f>
        <v/>
      </c>
      <c r="D23" s="1262" t="str">
        <f>'Regulação Qualidade da Água'!I28</f>
        <v/>
      </c>
      <c r="E23" s="1315"/>
      <c r="F23" s="1316"/>
      <c r="G23" s="1317"/>
      <c r="H23" s="1315"/>
      <c r="I23" s="1316"/>
      <c r="J23" s="1317"/>
      <c r="K23" s="1315"/>
      <c r="L23" s="1316"/>
      <c r="M23" s="1317"/>
      <c r="N23" s="1318" t="s">
        <v>1539</v>
      </c>
      <c r="O23" s="1319" t="str">
        <f>IFERROR('Regulação de polinização'!D50,"")</f>
        <v/>
      </c>
      <c r="P23" s="1320"/>
      <c r="Q23" s="1260" t="s">
        <v>1540</v>
      </c>
      <c r="R23" s="1321" t="str">
        <f>IFERROR('Regulação de polinização'!D166:E166,"")</f>
        <v/>
      </c>
      <c r="S23" s="1322"/>
      <c r="T23" s="1323" t="s">
        <v>1199</v>
      </c>
      <c r="U23" s="1324" t="s">
        <v>1191</v>
      </c>
      <c r="V23" s="1325" t="str">
        <f>IFERROR('Regulação da Erosão do Solo'!L69,"")</f>
        <v/>
      </c>
      <c r="W23" s="1326" t="s">
        <v>1188</v>
      </c>
      <c r="X23" s="1536" t="s">
        <v>1203</v>
      </c>
      <c r="Y23" s="1998" t="str">
        <f>IFERROR('Regulação da Erosão do Solo'!I143:J143,"")</f>
        <v/>
      </c>
      <c r="Z23" s="1998"/>
      <c r="AA23" s="1322" t="s">
        <v>1299</v>
      </c>
    </row>
    <row r="24" spans="2:27" s="1292" customFormat="1" x14ac:dyDescent="0.25">
      <c r="B24" s="1327" t="s">
        <v>506</v>
      </c>
      <c r="C24" s="1328" t="str">
        <f>'Regulação Qualidade da Água'!H29</f>
        <v/>
      </c>
      <c r="D24" s="1329" t="s">
        <v>13</v>
      </c>
      <c r="E24" s="1330"/>
      <c r="F24" s="1328"/>
      <c r="G24" s="1331"/>
      <c r="H24" s="1330"/>
      <c r="I24" s="1328"/>
      <c r="J24" s="1331"/>
      <c r="K24" s="1330"/>
      <c r="L24" s="1328"/>
      <c r="M24" s="1331"/>
      <c r="N24" s="1332" t="s">
        <v>506</v>
      </c>
      <c r="O24" s="1333" t="str">
        <f>'Regulação de polinização'!D51</f>
        <v/>
      </c>
      <c r="P24" s="1334" t="s">
        <v>13</v>
      </c>
      <c r="Q24" s="1335" t="s">
        <v>506</v>
      </c>
      <c r="R24" s="1336" t="str">
        <f>IFERROR('Regulação de polinização'!D167:E167,"")</f>
        <v/>
      </c>
      <c r="S24" s="1337" t="s">
        <v>13</v>
      </c>
      <c r="T24" s="1338"/>
      <c r="U24" s="1339" t="s">
        <v>1192</v>
      </c>
      <c r="V24" s="1340" t="str">
        <f>IFERROR('Regulação da Erosão do Solo'!L70,"")</f>
        <v/>
      </c>
      <c r="W24" s="1341" t="s">
        <v>1188</v>
      </c>
      <c r="X24" s="1537" t="s">
        <v>504</v>
      </c>
      <c r="Y24" s="1999" t="str">
        <f>IFERROR('Regulação da Erosão do Solo'!I144:J144,"")</f>
        <v/>
      </c>
      <c r="Z24" s="1999"/>
      <c r="AA24" s="1538" t="s">
        <v>13</v>
      </c>
    </row>
    <row r="25" spans="2:27" s="1292" customFormat="1" x14ac:dyDescent="0.25">
      <c r="B25" s="1330"/>
      <c r="C25" s="1328"/>
      <c r="D25" s="1331"/>
      <c r="E25" s="1330"/>
      <c r="F25" s="1328"/>
      <c r="G25" s="1331"/>
      <c r="H25" s="1330"/>
      <c r="I25" s="1328"/>
      <c r="J25" s="1331"/>
      <c r="K25" s="1330"/>
      <c r="L25" s="1328"/>
      <c r="M25" s="1331"/>
      <c r="N25" s="1330"/>
      <c r="O25" s="1328"/>
      <c r="P25" s="1331"/>
      <c r="Q25" s="1330"/>
      <c r="R25" s="1328"/>
      <c r="S25" s="1331"/>
      <c r="T25" s="1338"/>
      <c r="U25" s="1339" t="s">
        <v>1193</v>
      </c>
      <c r="V25" s="1342" t="str">
        <f>IFERROR('Regulação da Erosão do Solo'!L71,"")</f>
        <v/>
      </c>
      <c r="W25" s="1341" t="s">
        <v>1188</v>
      </c>
      <c r="X25" s="1328"/>
      <c r="Y25" s="1328"/>
      <c r="Z25" s="1328"/>
      <c r="AA25" s="1331"/>
    </row>
    <row r="26" spans="2:27" s="1292" customFormat="1" hidden="1" outlineLevel="1" x14ac:dyDescent="0.25">
      <c r="B26" s="1330"/>
      <c r="C26" s="1328"/>
      <c r="D26" s="1331"/>
      <c r="E26" s="1330"/>
      <c r="F26" s="1328"/>
      <c r="G26" s="1331"/>
      <c r="H26" s="1330"/>
      <c r="I26" s="1328"/>
      <c r="J26" s="1331"/>
      <c r="K26" s="1330"/>
      <c r="L26" s="1328"/>
      <c r="M26" s="1331"/>
      <c r="N26" s="1330"/>
      <c r="O26" s="1328"/>
      <c r="P26" s="1331"/>
      <c r="Q26" s="1330"/>
      <c r="R26" s="1328"/>
      <c r="S26" s="1331"/>
      <c r="T26" s="1338"/>
      <c r="U26" s="1339">
        <f>$J$21</f>
        <v>0</v>
      </c>
      <c r="V26" s="1342" t="e">
        <f>IF(#REF!="","",#REF!*($K$54-$K$55))</f>
        <v>#REF!</v>
      </c>
      <c r="W26" s="1341" t="s">
        <v>1188</v>
      </c>
      <c r="X26" s="1328"/>
      <c r="Y26" s="1328"/>
      <c r="Z26" s="1328"/>
      <c r="AA26" s="1331"/>
    </row>
    <row r="27" spans="2:27" s="1292" customFormat="1" hidden="1" outlineLevel="1" x14ac:dyDescent="0.25">
      <c r="B27" s="1330"/>
      <c r="C27" s="1328"/>
      <c r="D27" s="1331"/>
      <c r="E27" s="1330"/>
      <c r="F27" s="1328"/>
      <c r="G27" s="1331"/>
      <c r="H27" s="1330"/>
      <c r="I27" s="1328"/>
      <c r="J27" s="1331"/>
      <c r="K27" s="1330"/>
      <c r="L27" s="1328"/>
      <c r="M27" s="1331"/>
      <c r="N27" s="1330"/>
      <c r="O27" s="1328"/>
      <c r="P27" s="1331"/>
      <c r="Q27" s="1330"/>
      <c r="R27" s="1328"/>
      <c r="S27" s="1331"/>
      <c r="T27" s="1338"/>
      <c r="U27" s="1339">
        <f>$J$22</f>
        <v>0</v>
      </c>
      <c r="V27" s="1342" t="e">
        <f>IF(#REF!="","",#REF!*($K$54-$K$55))</f>
        <v>#REF!</v>
      </c>
      <c r="W27" s="1341" t="s">
        <v>1188</v>
      </c>
      <c r="X27" s="1328"/>
      <c r="Y27" s="1328"/>
      <c r="Z27" s="1328"/>
      <c r="AA27" s="1331"/>
    </row>
    <row r="28" spans="2:27" s="1292" customFormat="1" ht="15.75" collapsed="1" thickBot="1" x14ac:dyDescent="0.3">
      <c r="B28" s="1343"/>
      <c r="C28" s="1344"/>
      <c r="D28" s="1345"/>
      <c r="E28" s="1343"/>
      <c r="F28" s="1344"/>
      <c r="G28" s="1345"/>
      <c r="H28" s="1343"/>
      <c r="I28" s="1344"/>
      <c r="J28" s="1345"/>
      <c r="K28" s="1343"/>
      <c r="L28" s="1344"/>
      <c r="M28" s="1345"/>
      <c r="N28" s="1343"/>
      <c r="O28" s="1344"/>
      <c r="P28" s="1345"/>
      <c r="Q28" s="1343"/>
      <c r="R28" s="1344"/>
      <c r="S28" s="1345"/>
      <c r="T28" s="1346" t="s">
        <v>504</v>
      </c>
      <c r="U28" s="1995" t="str">
        <f>IFERROR('Regulação da Erosão do Solo'!K74:L74,"")</f>
        <v/>
      </c>
      <c r="V28" s="1995"/>
      <c r="W28" s="1347" t="s">
        <v>13</v>
      </c>
      <c r="X28" s="1344"/>
      <c r="Y28" s="1344"/>
      <c r="Z28" s="1344"/>
      <c r="AA28" s="1345"/>
    </row>
    <row r="29" spans="2:27" s="1292" customFormat="1" ht="16.5" x14ac:dyDescent="0.3">
      <c r="B29" s="1348" t="s">
        <v>32</v>
      </c>
      <c r="C29" s="1349" t="str">
        <f>'Regulação Qualidade da Água'!L28</f>
        <v/>
      </c>
      <c r="D29" s="1269" t="str">
        <f>'Regulação Qualidade da Água'!M28</f>
        <v/>
      </c>
      <c r="E29" s="1350" t="s">
        <v>1152</v>
      </c>
      <c r="F29" s="1351" t="str">
        <f>'Assimilação Efluentes Líquido'!I19</f>
        <v/>
      </c>
      <c r="G29" s="1270" t="str">
        <f>'Assimilação Efluentes Líquido'!J19</f>
        <v>mg/L</v>
      </c>
      <c r="H29" s="1266" t="s">
        <v>1541</v>
      </c>
      <c r="I29" s="1539">
        <f>'Regulação do clima global'!H44:I44</f>
        <v>0</v>
      </c>
      <c r="J29" s="1231" t="s">
        <v>1333</v>
      </c>
      <c r="K29" s="1266" t="s">
        <v>1542</v>
      </c>
      <c r="L29" s="1352" t="str">
        <f>IFERROR('Regulação do clima global'!H92:I92,"")</f>
        <v/>
      </c>
      <c r="M29" s="1231" t="s">
        <v>1333</v>
      </c>
      <c r="N29" s="1353"/>
      <c r="O29" s="1352"/>
      <c r="P29" s="1354"/>
      <c r="Q29" s="1232" t="s">
        <v>1130</v>
      </c>
      <c r="R29" s="1229" t="str">
        <f>IFERROR('Regulação de polinização'!D186:E186,"")</f>
        <v/>
      </c>
      <c r="S29" s="1233"/>
      <c r="T29" s="1353"/>
      <c r="U29" s="1352"/>
      <c r="V29" s="1352"/>
      <c r="W29" s="1354"/>
      <c r="X29" s="1228" t="s">
        <v>1203</v>
      </c>
      <c r="Y29" s="2003" t="str">
        <f>IFERROR('Regulação da Erosão do Solo'!N143,"")</f>
        <v/>
      </c>
      <c r="Z29" s="2003"/>
      <c r="AA29" s="1354" t="s">
        <v>1299</v>
      </c>
    </row>
    <row r="30" spans="2:27" s="1292" customFormat="1" ht="15.75" thickBot="1" x14ac:dyDescent="0.3">
      <c r="B30" s="1355" t="s">
        <v>506</v>
      </c>
      <c r="C30" s="1356" t="str">
        <f>'Regulação Qualidade da Água'!L29</f>
        <v/>
      </c>
      <c r="D30" s="1357" t="s">
        <v>13</v>
      </c>
      <c r="E30" s="1271" t="s">
        <v>506</v>
      </c>
      <c r="F30" s="1358" t="str">
        <f>'Assimilação Efluentes Líquido'!I20</f>
        <v/>
      </c>
      <c r="G30" s="1359" t="s">
        <v>13</v>
      </c>
      <c r="H30" s="1271" t="s">
        <v>506</v>
      </c>
      <c r="I30" s="1250">
        <f>'Regulação do clima global'!H45:I45</f>
        <v>0</v>
      </c>
      <c r="J30" s="533" t="s">
        <v>13</v>
      </c>
      <c r="K30" s="1271" t="s">
        <v>506</v>
      </c>
      <c r="L30" s="1360" t="str">
        <f>IFERROR('Regulação do clima global'!H93:I93,"")</f>
        <v/>
      </c>
      <c r="M30" s="533" t="s">
        <v>13</v>
      </c>
      <c r="N30" s="1361"/>
      <c r="O30" s="1360"/>
      <c r="P30" s="1362"/>
      <c r="Q30" s="203" t="s">
        <v>506</v>
      </c>
      <c r="R30" s="1227" t="str">
        <f>IFERROR('Regulação de polinização'!D187:E187,"")</f>
        <v/>
      </c>
      <c r="S30" s="1118" t="s">
        <v>13</v>
      </c>
      <c r="T30" s="1361"/>
      <c r="U30" s="1360"/>
      <c r="V30" s="1360"/>
      <c r="W30" s="1362"/>
      <c r="X30" s="1230" t="s">
        <v>504</v>
      </c>
      <c r="Y30" s="2004">
        <f>IFERROR('Regulação da Erosão do Solo'!N144,"")</f>
        <v>0</v>
      </c>
      <c r="Z30" s="2004"/>
      <c r="AA30" s="1362" t="s">
        <v>13</v>
      </c>
    </row>
    <row r="31" spans="2:27" s="1292" customFormat="1" x14ac:dyDescent="0.25"/>
    <row r="32" spans="2:27" s="1292" customFormat="1" ht="15.75" thickBot="1" x14ac:dyDescent="0.3"/>
    <row r="33" spans="2:6" s="1292" customFormat="1" ht="27.75" customHeight="1" thickBot="1" x14ac:dyDescent="0.3">
      <c r="B33" s="2005" t="s">
        <v>1528</v>
      </c>
      <c r="C33" s="2006"/>
      <c r="D33" s="2006"/>
      <c r="E33" s="2006"/>
      <c r="F33" s="2007"/>
    </row>
    <row r="34" spans="2:6" s="1292" customFormat="1" ht="16.5" x14ac:dyDescent="0.3">
      <c r="B34" s="1532" t="s">
        <v>1543</v>
      </c>
      <c r="C34" s="1533"/>
      <c r="D34" s="1363" t="str">
        <f>IFERROR('Recreação e Turismo'!F25,"")</f>
        <v/>
      </c>
      <c r="E34" s="1975" t="s">
        <v>556</v>
      </c>
      <c r="F34" s="1976"/>
    </row>
    <row r="35" spans="2:6" s="1292" customFormat="1" x14ac:dyDescent="0.25">
      <c r="B35" s="1985" t="s">
        <v>1314</v>
      </c>
      <c r="C35" s="1986"/>
      <c r="D35" s="1364" t="str">
        <f>IFERROR('Recreação e Turismo'!F26,"")</f>
        <v/>
      </c>
      <c r="E35" s="1977" t="s">
        <v>1120</v>
      </c>
      <c r="F35" s="1977"/>
    </row>
    <row r="36" spans="2:6" s="1292" customFormat="1" x14ac:dyDescent="0.25">
      <c r="B36" s="1985" t="s">
        <v>1213</v>
      </c>
      <c r="C36" s="1986"/>
      <c r="D36" s="1365" t="str">
        <f>IFERROR('Recreação e Turismo'!E27:F27,"")</f>
        <v/>
      </c>
      <c r="E36" s="1978" t="s">
        <v>13</v>
      </c>
      <c r="F36" s="1978"/>
    </row>
    <row r="37" spans="2:6" s="1292" customFormat="1" ht="15.75" thickBot="1" x14ac:dyDescent="0.3">
      <c r="B37" s="1987" t="s">
        <v>1214</v>
      </c>
      <c r="C37" s="1988"/>
      <c r="D37" s="1366" t="str">
        <f>IFERROR('Recreação e Turismo'!E28:F28,"")</f>
        <v/>
      </c>
      <c r="E37" s="1979" t="s">
        <v>13</v>
      </c>
      <c r="F37" s="1980"/>
    </row>
    <row r="38" spans="2:6" s="1292" customFormat="1" ht="15.75" customHeight="1" x14ac:dyDescent="0.25">
      <c r="B38" s="1989" t="s">
        <v>1314</v>
      </c>
      <c r="C38" s="1990"/>
      <c r="D38" s="1531" t="str">
        <f>IFERROR('Recreação e Turismo'!K25,"")</f>
        <v/>
      </c>
      <c r="E38" s="1981" t="s">
        <v>1120</v>
      </c>
      <c r="F38" s="1982"/>
    </row>
    <row r="39" spans="2:6" s="1292" customFormat="1" ht="15.75" thickBot="1" x14ac:dyDescent="0.3">
      <c r="B39" s="1973" t="s">
        <v>506</v>
      </c>
      <c r="C39" s="1974"/>
      <c r="D39" s="1367" t="str">
        <f>IFERROR('Recreação e Turismo'!J26:K26,"")</f>
        <v/>
      </c>
      <c r="E39" s="1983" t="s">
        <v>13</v>
      </c>
      <c r="F39" s="1984"/>
    </row>
    <row r="40" spans="2:6" s="1292" customFormat="1" x14ac:dyDescent="0.25"/>
    <row r="41" spans="2:6" s="1292" customFormat="1" x14ac:dyDescent="0.25"/>
    <row r="42" spans="2:6" s="1292" customFormat="1" x14ac:dyDescent="0.25"/>
    <row r="43" spans="2:6" s="1292" customFormat="1" x14ac:dyDescent="0.25"/>
  </sheetData>
  <sheetProtection sheet="1" objects="1" scenarios="1" selectLockedCells="1" selectUnlockedCells="1"/>
  <mergeCells count="31">
    <mergeCell ref="Y29:Z29"/>
    <mergeCell ref="Y30:Z30"/>
    <mergeCell ref="B33:F33"/>
    <mergeCell ref="U28:V28"/>
    <mergeCell ref="T16:W16"/>
    <mergeCell ref="Y17:Z17"/>
    <mergeCell ref="Y18:Z18"/>
    <mergeCell ref="Y23:Z23"/>
    <mergeCell ref="Y24:Z24"/>
    <mergeCell ref="X16:AA16"/>
    <mergeCell ref="B6:D6"/>
    <mergeCell ref="E6:G6"/>
    <mergeCell ref="B16:D16"/>
    <mergeCell ref="A1:AA1"/>
    <mergeCell ref="E3:U3"/>
    <mergeCell ref="N16:P16"/>
    <mergeCell ref="H16:J16"/>
    <mergeCell ref="K16:M16"/>
    <mergeCell ref="Q16:S16"/>
    <mergeCell ref="E16:G16"/>
    <mergeCell ref="B39:C39"/>
    <mergeCell ref="E34:F34"/>
    <mergeCell ref="E35:F35"/>
    <mergeCell ref="E36:F36"/>
    <mergeCell ref="E37:F37"/>
    <mergeCell ref="E38:F38"/>
    <mergeCell ref="E39:F39"/>
    <mergeCell ref="B35:C35"/>
    <mergeCell ref="B36:C36"/>
    <mergeCell ref="B37:C37"/>
    <mergeCell ref="B38:C38"/>
  </mergeCells>
  <hyperlinks>
    <hyperlink ref="B6:D6" location="'Provisão de Água'!A1" display="Provisão de Água"/>
    <hyperlink ref="E6:G6" location="'Provisão Biomassa Combustível'!A1" display="Provisão de Biomassa Combustível"/>
    <hyperlink ref="B16:D16" location="'Regulação Qualidade da Água'!A1" display="Regulação da Qualidade da Água"/>
    <hyperlink ref="E16:G16" location="'Assimilação Efluentes Líquido'!A1" display="Regulação da assimilação de efluentes"/>
    <hyperlink ref="H16:J16" location="'Regulação do clima global'!A1" display="Regulação do Clima Global - Emissões Líquidas"/>
    <hyperlink ref="K16:M16" location="'Regulação do clima global'!A1" display="Regulação do Clima Global - Desmatamento Evitado"/>
    <hyperlink ref="N16:P16" location="'Regulação de polinização'!A1" display="Regulação de Polinização - Reposição "/>
    <hyperlink ref="Q16:S16" location="'Regulação de polinização'!A1" display="Regulação de Polinização - Selvagem"/>
    <hyperlink ref="T16:W16" location="'Regulação da Erosão do Solo'!A1" display="Regulação de Erosão do Solo - Perda de Nutrientes"/>
    <hyperlink ref="X16:AA16" location="'Regulação da Erosão do Solo'!A1" display="Regulação de Erosão do Solo - Turbidez do corpo d´água"/>
    <hyperlink ref="B33:D33" location="'Recreação e Turismo'!A1" display="Serviço Ecossistêmico Cultural de Recreação e Turismo"/>
  </hyperlinks>
  <pageMargins left="0.511811024" right="0.511811024" top="0.78740157499999996" bottom="0.78740157499999996" header="0.31496062000000002" footer="0.31496062000000002"/>
  <pageSetup paperSize="9" orientation="portrait" r:id="rId1"/>
  <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theme="9" tint="-0.249977111117893"/>
  </sheetPr>
  <dimension ref="A1:V44"/>
  <sheetViews>
    <sheetView showGridLines="0" topLeftCell="A2" zoomScaleNormal="100" workbookViewId="0">
      <selection activeCell="A17" sqref="A17"/>
    </sheetView>
  </sheetViews>
  <sheetFormatPr defaultColWidth="0" defaultRowHeight="15" zeroHeight="1" x14ac:dyDescent="0.25"/>
  <cols>
    <col min="1" max="1" width="2.42578125" customWidth="1"/>
    <col min="2" max="3" width="8.85546875" customWidth="1"/>
    <col min="4" max="4" width="10.140625" customWidth="1"/>
    <col min="5" max="17" width="8.85546875" customWidth="1"/>
    <col min="18" max="18" width="4.5703125" customWidth="1"/>
    <col min="19" max="19" width="8.85546875" customWidth="1"/>
    <col min="20" max="20" width="10.42578125" customWidth="1"/>
    <col min="21" max="21" width="6" customWidth="1"/>
    <col min="22" max="22" width="8.85546875" customWidth="1"/>
    <col min="23" max="16384" width="8.85546875" hidden="1"/>
  </cols>
  <sheetData>
    <row r="1" spans="1:21" x14ac:dyDescent="0.25"/>
    <row r="2" spans="1:21" x14ac:dyDescent="0.25"/>
    <row r="3" spans="1:21" x14ac:dyDescent="0.25"/>
    <row r="4" spans="1:21" x14ac:dyDescent="0.25"/>
    <row r="5" spans="1:21" x14ac:dyDescent="0.25"/>
    <row r="6" spans="1:21" x14ac:dyDescent="0.25">
      <c r="A6" s="1547"/>
      <c r="B6" s="1547"/>
      <c r="C6" s="1547"/>
      <c r="D6" s="1547"/>
      <c r="E6" s="1547"/>
      <c r="F6" s="1547"/>
      <c r="G6" s="1547"/>
      <c r="H6" s="1547"/>
      <c r="I6" s="1547"/>
      <c r="J6" s="1547"/>
      <c r="K6" s="1547"/>
      <c r="L6" s="1547"/>
      <c r="M6" s="1547"/>
      <c r="N6" s="1547"/>
      <c r="O6" s="1547"/>
      <c r="P6" s="1547"/>
      <c r="Q6" s="1547"/>
      <c r="R6" s="1547"/>
      <c r="S6" s="1547"/>
      <c r="T6" s="1547"/>
      <c r="U6" s="1547"/>
    </row>
    <row r="7" spans="1:21" s="6" customFormat="1" ht="15.75" x14ac:dyDescent="0.25">
      <c r="B7" s="35" t="s">
        <v>1571</v>
      </c>
    </row>
    <row r="8" spans="1:21" s="6" customFormat="1" ht="47.25" customHeight="1" x14ac:dyDescent="0.25">
      <c r="B8" s="1548" t="s">
        <v>1573</v>
      </c>
      <c r="C8" s="1548"/>
      <c r="D8" s="1548"/>
      <c r="E8" s="1548"/>
      <c r="F8" s="1548"/>
      <c r="G8" s="1548"/>
      <c r="H8" s="1548"/>
      <c r="I8" s="1548"/>
      <c r="J8" s="1548"/>
      <c r="K8" s="1548"/>
      <c r="L8" s="1548"/>
      <c r="M8" s="1548"/>
      <c r="N8" s="1548"/>
      <c r="O8" s="1548"/>
      <c r="P8" s="1548"/>
      <c r="Q8" s="1548"/>
      <c r="R8" s="1548"/>
      <c r="S8" s="1548"/>
      <c r="T8" s="1548"/>
      <c r="U8" s="1548"/>
    </row>
    <row r="9" spans="1:21" s="6" customFormat="1" ht="33" customHeight="1" x14ac:dyDescent="0.25">
      <c r="B9" s="1548" t="s">
        <v>1574</v>
      </c>
      <c r="C9" s="1548"/>
      <c r="D9" s="1548"/>
      <c r="E9" s="1548"/>
      <c r="F9" s="1548"/>
      <c r="G9" s="1548"/>
      <c r="H9" s="1548"/>
      <c r="I9" s="1548"/>
      <c r="J9" s="1548"/>
      <c r="K9" s="1548"/>
      <c r="L9" s="1548"/>
      <c r="M9" s="1548"/>
      <c r="N9" s="1548"/>
      <c r="O9" s="1548"/>
      <c r="P9" s="1548"/>
      <c r="Q9" s="1548"/>
      <c r="R9" s="1548"/>
      <c r="S9" s="1548"/>
      <c r="T9" s="1548"/>
      <c r="U9" s="1548"/>
    </row>
    <row r="10" spans="1:21" s="6" customFormat="1" ht="15" customHeight="1" x14ac:dyDescent="0.25">
      <c r="B10" s="1215" t="s">
        <v>1575</v>
      </c>
      <c r="C10" s="1214"/>
      <c r="D10" s="1214"/>
      <c r="E10" s="1216" t="s">
        <v>1509</v>
      </c>
      <c r="F10" s="1215" t="s">
        <v>1510</v>
      </c>
      <c r="G10" s="1214"/>
      <c r="H10" s="1214"/>
      <c r="I10" s="1214"/>
      <c r="J10" s="1214"/>
      <c r="K10" s="1214"/>
      <c r="L10" s="1214"/>
      <c r="M10" s="1214"/>
      <c r="N10" s="1214"/>
      <c r="O10" s="1214"/>
      <c r="P10" s="1214"/>
      <c r="Q10" s="1214"/>
      <c r="R10" s="1214"/>
      <c r="S10" s="1214"/>
      <c r="T10" s="1214"/>
      <c r="U10" s="1214"/>
    </row>
    <row r="11" spans="1:21" s="6" customFormat="1" ht="29.25" customHeight="1" x14ac:dyDescent="0.25">
      <c r="B11" s="1544" t="s">
        <v>1576</v>
      </c>
      <c r="C11" s="1545"/>
      <c r="D11" s="1545"/>
      <c r="E11" s="1545"/>
      <c r="F11" s="1545"/>
      <c r="G11" s="1545"/>
      <c r="H11" s="1545"/>
      <c r="I11" s="1545"/>
      <c r="J11" s="1545"/>
      <c r="K11" s="1545"/>
      <c r="L11" s="1545"/>
      <c r="M11" s="1545"/>
      <c r="N11" s="1545"/>
      <c r="O11" s="1545"/>
      <c r="P11" s="1545"/>
      <c r="Q11" s="1545"/>
      <c r="R11" s="1545"/>
      <c r="S11" s="1545"/>
      <c r="T11" s="1545"/>
      <c r="U11" s="1545"/>
    </row>
    <row r="12" spans="1:21" s="6" customFormat="1" ht="29.25" customHeight="1" x14ac:dyDescent="0.25">
      <c r="B12" s="1548" t="s">
        <v>1577</v>
      </c>
      <c r="C12" s="1548"/>
      <c r="D12" s="1548"/>
      <c r="E12" s="1548"/>
      <c r="F12" s="1548"/>
      <c r="G12" s="1548"/>
      <c r="H12" s="1548"/>
      <c r="I12" s="1548"/>
      <c r="J12" s="1548"/>
      <c r="K12" s="1548"/>
      <c r="L12" s="1548"/>
      <c r="M12" s="1548"/>
      <c r="N12" s="1548"/>
      <c r="O12" s="1548"/>
      <c r="P12" s="1548"/>
      <c r="Q12" s="1548"/>
      <c r="R12" s="1548"/>
      <c r="S12" s="1548"/>
      <c r="T12" s="1548"/>
      <c r="U12" s="1548"/>
    </row>
    <row r="13" spans="1:21" s="6" customFormat="1" ht="30" customHeight="1" x14ac:dyDescent="0.25">
      <c r="B13" s="1549" t="s">
        <v>1578</v>
      </c>
      <c r="C13" s="1549"/>
      <c r="D13" s="1549"/>
      <c r="E13" s="1549"/>
      <c r="F13" s="1549"/>
      <c r="G13" s="1549"/>
      <c r="H13" s="1549"/>
      <c r="I13" s="1549"/>
      <c r="J13" s="1549"/>
      <c r="K13" s="1549"/>
      <c r="L13" s="1549"/>
      <c r="M13" s="1549"/>
      <c r="N13" s="1549"/>
      <c r="O13" s="1549"/>
      <c r="P13" s="1549"/>
      <c r="Q13" s="1549"/>
      <c r="R13" s="1549"/>
      <c r="S13" s="1549"/>
      <c r="T13" s="1549"/>
      <c r="U13" s="1549"/>
    </row>
    <row r="14" spans="1:21" s="6" customFormat="1" ht="30" customHeight="1" x14ac:dyDescent="0.25">
      <c r="B14" s="1549" t="s">
        <v>1579</v>
      </c>
      <c r="C14" s="1549"/>
      <c r="D14" s="1549"/>
      <c r="E14" s="1549"/>
      <c r="F14" s="1549"/>
      <c r="G14" s="1549"/>
      <c r="H14" s="1549"/>
      <c r="I14" s="1549"/>
      <c r="J14" s="1549"/>
      <c r="K14" s="1549"/>
      <c r="L14" s="1549"/>
      <c r="M14" s="1549"/>
      <c r="N14" s="1549"/>
      <c r="O14" s="1549"/>
      <c r="P14" s="1549"/>
      <c r="Q14" s="1549"/>
      <c r="R14" s="1549"/>
      <c r="S14" s="1549"/>
      <c r="T14" s="1549"/>
      <c r="U14" s="1549"/>
    </row>
    <row r="15" spans="1:21" s="6" customFormat="1" x14ac:dyDescent="0.25">
      <c r="B15" s="1546" t="s">
        <v>1580</v>
      </c>
      <c r="C15" s="1546"/>
      <c r="D15" s="1546"/>
      <c r="E15" s="1546"/>
      <c r="F15" s="1546"/>
      <c r="G15" s="1546"/>
      <c r="H15" s="1546"/>
      <c r="I15" s="1546"/>
      <c r="J15" s="1546"/>
      <c r="K15" s="1546"/>
      <c r="L15" s="1546"/>
      <c r="M15" s="1546"/>
      <c r="N15" s="1546"/>
      <c r="O15" s="1546"/>
      <c r="P15" s="1546"/>
      <c r="Q15" s="1546"/>
      <c r="R15" s="1546"/>
      <c r="S15" s="1546"/>
      <c r="T15" s="1546"/>
      <c r="U15" s="1546"/>
    </row>
    <row r="16" spans="1:21" s="6" customFormat="1" x14ac:dyDescent="0.25">
      <c r="B16" s="572"/>
      <c r="C16" s="572"/>
      <c r="D16" s="572"/>
      <c r="E16" s="572"/>
      <c r="F16" s="572"/>
      <c r="G16" s="572"/>
      <c r="H16" s="572"/>
      <c r="I16" s="572"/>
      <c r="J16" s="572"/>
      <c r="K16" s="572"/>
      <c r="L16" s="572"/>
      <c r="M16" s="572"/>
      <c r="N16" s="572"/>
      <c r="O16" s="572"/>
      <c r="P16" s="572"/>
      <c r="Q16" s="572"/>
      <c r="R16" s="572"/>
      <c r="S16" s="572"/>
      <c r="T16" s="572"/>
      <c r="U16" s="572"/>
    </row>
    <row r="17" spans="1:21" ht="16.5" thickBot="1" x14ac:dyDescent="0.3">
      <c r="A17" s="1386"/>
      <c r="B17" s="1387" t="s">
        <v>489</v>
      </c>
      <c r="C17" s="1386"/>
      <c r="D17" s="1386"/>
      <c r="E17" s="1386"/>
      <c r="F17" s="1386"/>
      <c r="L17" s="35" t="s">
        <v>1529</v>
      </c>
      <c r="M17" s="1091"/>
      <c r="N17" s="1091"/>
    </row>
    <row r="18" spans="1:21" s="6" customFormat="1" ht="17.25" thickTop="1" thickBot="1" x14ac:dyDescent="0.3">
      <c r="A18" s="1386"/>
      <c r="B18" s="1388" t="s">
        <v>1139</v>
      </c>
      <c r="C18" s="1389" t="s">
        <v>1138</v>
      </c>
      <c r="D18" s="1386"/>
      <c r="E18" s="1386"/>
      <c r="F18" s="1386"/>
      <c r="L18" s="1093"/>
      <c r="M18" s="1098" t="s">
        <v>1481</v>
      </c>
      <c r="N18" s="1092"/>
    </row>
    <row r="19" spans="1:21" ht="17.25" thickTop="1" thickBot="1" x14ac:dyDescent="0.3">
      <c r="A19" s="1390" t="s">
        <v>499</v>
      </c>
      <c r="B19" s="1391" t="s">
        <v>1139</v>
      </c>
      <c r="C19" s="1389" t="s">
        <v>1512</v>
      </c>
      <c r="D19" s="1392"/>
      <c r="E19" s="1386"/>
      <c r="F19" s="1386"/>
      <c r="L19" s="1094"/>
      <c r="M19" s="1098" t="s">
        <v>1506</v>
      </c>
      <c r="N19" s="1092"/>
    </row>
    <row r="20" spans="1:21" ht="17.25" thickTop="1" thickBot="1" x14ac:dyDescent="0.3">
      <c r="A20" s="1390" t="s">
        <v>500</v>
      </c>
      <c r="B20" s="1391" t="s">
        <v>1139</v>
      </c>
      <c r="C20" s="1389" t="s">
        <v>1511</v>
      </c>
      <c r="D20" s="1392"/>
      <c r="E20" s="1386"/>
      <c r="F20" s="1386"/>
      <c r="L20" s="1095"/>
      <c r="M20" s="1098" t="s">
        <v>1507</v>
      </c>
      <c r="N20" s="1092"/>
    </row>
    <row r="21" spans="1:21" ht="17.25" thickTop="1" thickBot="1" x14ac:dyDescent="0.3">
      <c r="A21" s="1390" t="s">
        <v>501</v>
      </c>
      <c r="B21" s="1391" t="s">
        <v>1139</v>
      </c>
      <c r="C21" s="1389" t="s">
        <v>1514</v>
      </c>
      <c r="D21" s="1392"/>
      <c r="E21" s="1386"/>
      <c r="F21" s="1386"/>
      <c r="L21" s="1096"/>
      <c r="M21" s="1098" t="s">
        <v>1508</v>
      </c>
      <c r="N21" s="1092"/>
    </row>
    <row r="22" spans="1:21" ht="17.25" thickTop="1" thickBot="1" x14ac:dyDescent="0.3">
      <c r="A22" s="1390"/>
      <c r="B22" s="1391" t="s">
        <v>1139</v>
      </c>
      <c r="C22" s="1389" t="s">
        <v>1154</v>
      </c>
      <c r="D22" s="1392"/>
      <c r="E22" s="1386"/>
      <c r="F22" s="1386"/>
      <c r="M22" s="12"/>
    </row>
    <row r="23" spans="1:21" ht="17.25" thickTop="1" thickBot="1" x14ac:dyDescent="0.3">
      <c r="A23" s="1390" t="s">
        <v>502</v>
      </c>
      <c r="B23" s="1391" t="s">
        <v>1139</v>
      </c>
      <c r="C23" s="1389" t="s">
        <v>1163</v>
      </c>
      <c r="D23" s="1392"/>
      <c r="E23" s="1386"/>
      <c r="F23" s="1386"/>
      <c r="L23" s="1212"/>
      <c r="M23" s="1099"/>
      <c r="N23" s="1097"/>
      <c r="O23" s="2"/>
    </row>
    <row r="24" spans="1:21" ht="17.25" thickTop="1" thickBot="1" x14ac:dyDescent="0.3">
      <c r="A24" s="1390"/>
      <c r="B24" s="1391" t="s">
        <v>1139</v>
      </c>
      <c r="C24" s="1389" t="s">
        <v>1164</v>
      </c>
      <c r="D24" s="1392"/>
      <c r="E24" s="1386"/>
      <c r="F24" s="1386"/>
      <c r="L24" s="1213"/>
      <c r="M24" s="1099"/>
    </row>
    <row r="25" spans="1:21" ht="17.25" thickTop="1" thickBot="1" x14ac:dyDescent="0.3">
      <c r="A25" s="1390"/>
      <c r="B25" s="1391" t="s">
        <v>1139</v>
      </c>
      <c r="C25" s="1389" t="s">
        <v>1211</v>
      </c>
      <c r="D25" s="1392"/>
      <c r="E25" s="1386"/>
      <c r="F25" s="1386"/>
      <c r="L25" s="1213"/>
      <c r="M25" s="1099"/>
    </row>
    <row r="26" spans="1:21" ht="16.5" thickTop="1" x14ac:dyDescent="0.25">
      <c r="A26" s="1390"/>
      <c r="B26" s="1391" t="s">
        <v>1139</v>
      </c>
      <c r="C26" s="1389" t="s">
        <v>1212</v>
      </c>
      <c r="D26" s="1392"/>
      <c r="E26" s="1386"/>
      <c r="F26" s="1386"/>
    </row>
    <row r="27" spans="1:21" ht="15.75" x14ac:dyDescent="0.25">
      <c r="A27" s="1390"/>
      <c r="B27" s="1388" t="s">
        <v>1139</v>
      </c>
      <c r="C27" s="1389" t="s">
        <v>1513</v>
      </c>
      <c r="D27" s="1386"/>
      <c r="E27" s="1386"/>
      <c r="F27" s="1386"/>
    </row>
    <row r="28" spans="1:21" x14ac:dyDescent="0.25"/>
    <row r="29" spans="1:21" ht="15" customHeight="1" x14ac:dyDescent="0.25">
      <c r="B29" s="1541" t="s">
        <v>1582</v>
      </c>
      <c r="C29" s="1541"/>
      <c r="D29" s="1541"/>
      <c r="E29" s="1541"/>
      <c r="F29" s="1541"/>
      <c r="G29" s="1541"/>
      <c r="H29" s="1541"/>
      <c r="I29" s="1541"/>
      <c r="J29" s="1541"/>
      <c r="K29" s="1541"/>
      <c r="L29" s="1541"/>
      <c r="M29" s="1541"/>
      <c r="N29" s="1541"/>
      <c r="O29" s="1541"/>
      <c r="P29" s="1541"/>
      <c r="Q29" s="1541"/>
      <c r="R29" s="1541"/>
      <c r="S29" s="1542" t="s">
        <v>1581</v>
      </c>
      <c r="T29" s="1543"/>
      <c r="U29" s="1394"/>
    </row>
    <row r="30" spans="1:21" ht="15" hidden="1" customHeight="1" x14ac:dyDescent="0.25">
      <c r="B30" s="1394"/>
      <c r="C30" s="1394"/>
      <c r="D30" s="1394"/>
      <c r="E30" s="1394"/>
      <c r="F30" s="1394"/>
      <c r="G30" s="1394"/>
      <c r="H30" s="1394"/>
      <c r="I30" s="1394"/>
      <c r="J30" s="1394"/>
      <c r="K30" s="1394"/>
      <c r="L30" s="1394"/>
      <c r="M30" s="1394"/>
      <c r="N30" s="1394"/>
      <c r="O30" s="1394"/>
      <c r="P30" s="1394"/>
      <c r="Q30" s="1394"/>
      <c r="R30" s="1394"/>
      <c r="S30" s="1394"/>
      <c r="T30" s="1394"/>
      <c r="U30" s="1394"/>
    </row>
    <row r="31" spans="1:21" hidden="1" x14ac:dyDescent="0.25"/>
    <row r="32" spans="1:21" x14ac:dyDescent="0.25">
      <c r="S32" s="1393"/>
    </row>
    <row r="33" hidden="1" x14ac:dyDescent="0.25"/>
    <row r="34" hidden="1" x14ac:dyDescent="0.25"/>
    <row r="35" hidden="1" x14ac:dyDescent="0.25"/>
    <row r="36" hidden="1" x14ac:dyDescent="0.25"/>
    <row r="37" hidden="1" x14ac:dyDescent="0.25"/>
    <row r="38" hidden="1" x14ac:dyDescent="0.25"/>
    <row r="39" hidden="1" x14ac:dyDescent="0.25"/>
    <row r="40" hidden="1" x14ac:dyDescent="0.25"/>
    <row r="41" hidden="1" x14ac:dyDescent="0.25"/>
    <row r="42" hidden="1" x14ac:dyDescent="0.25"/>
    <row r="43" hidden="1" x14ac:dyDescent="0.25"/>
    <row r="44" hidden="1" x14ac:dyDescent="0.25"/>
  </sheetData>
  <sheetProtection password="E915" sheet="1" objects="1" scenarios="1" selectLockedCells="1"/>
  <mergeCells count="10">
    <mergeCell ref="B29:R29"/>
    <mergeCell ref="S29:T29"/>
    <mergeCell ref="B11:U11"/>
    <mergeCell ref="B15:U15"/>
    <mergeCell ref="A6:U6"/>
    <mergeCell ref="B9:U9"/>
    <mergeCell ref="B13:U13"/>
    <mergeCell ref="B12:U12"/>
    <mergeCell ref="B14:U14"/>
    <mergeCell ref="B8:U8"/>
  </mergeCells>
  <hyperlinks>
    <hyperlink ref="C19" location="'Provisão de Água'!A1" display="Provisão de água (quantidade)"/>
    <hyperlink ref="C20" location="'Biomassa Combustível'!A1" display="Provisão de biomassa combustível"/>
    <hyperlink ref="C21" location="'Qualidade da Água'!A1" display="Qualidade da água"/>
    <hyperlink ref="C22" location="'Assimilação Efluentes Líquidos'!A1" display="Assimilação de efluentes líquidos"/>
    <hyperlink ref="C23" location="'Regulação do clima global'!A1" display="Regulação do clima global"/>
    <hyperlink ref="C24" location="'Regulação de polinização'!A1" display="Regulação de polinização"/>
    <hyperlink ref="C25" location="'Erosão do solo'!A1" display="Regulação de erosão do solo"/>
    <hyperlink ref="C26" location="'Recreação e Turismo'!A1" display="Recreação e turismo"/>
    <hyperlink ref="C18" location="'Plano de Trabalho'!A1" display="Plano de Trabalho"/>
    <hyperlink ref="C27" location="Resumo!A1" display="Resumo"/>
    <hyperlink ref="S29" r:id="rId1"/>
  </hyperlinks>
  <pageMargins left="0.511811024" right="0.511811024" top="0.78740157499999996" bottom="0.78740157499999996" header="0.31496062000000002" footer="0.31496062000000002"/>
  <pageSetup paperSize="9" orientation="portrait" r:id="rId2"/>
  <drawing r:id="rId3"/>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
  <sheetViews>
    <sheetView workbookViewId="0"/>
  </sheetViews>
  <sheetFormatPr defaultRowHeight="15" x14ac:dyDescent="0.25"/>
  <cols>
    <col min="1" max="1" width="20.85546875" customWidth="1"/>
    <col min="2" max="2" width="23.140625" customWidth="1"/>
  </cols>
  <sheetData>
    <row r="1" spans="1:2" x14ac:dyDescent="0.25">
      <c r="A1" t="s">
        <v>1415</v>
      </c>
    </row>
    <row r="2" spans="1:2" s="6" customFormat="1" x14ac:dyDescent="0.25"/>
    <row r="3" spans="1:2" ht="15.75" x14ac:dyDescent="0.25">
      <c r="A3" s="2009" t="s">
        <v>1416</v>
      </c>
      <c r="B3" s="2009"/>
    </row>
    <row r="4" spans="1:2" ht="15.75" x14ac:dyDescent="0.25">
      <c r="A4" s="2008" t="s">
        <v>507</v>
      </c>
      <c r="B4" s="2008"/>
    </row>
    <row r="5" spans="1:2" x14ac:dyDescent="0.25">
      <c r="A5" s="11" t="s">
        <v>12</v>
      </c>
      <c r="B5" s="11"/>
    </row>
    <row r="6" spans="1:2" ht="17.25" x14ac:dyDescent="0.25">
      <c r="A6" s="11" t="s">
        <v>19</v>
      </c>
      <c r="B6" s="11" t="s">
        <v>1530</v>
      </c>
    </row>
    <row r="7" spans="1:2" ht="17.25" x14ac:dyDescent="0.25">
      <c r="A7" s="11" t="s">
        <v>14</v>
      </c>
      <c r="B7" s="11" t="s">
        <v>20</v>
      </c>
    </row>
    <row r="8" spans="1:2" x14ac:dyDescent="0.25">
      <c r="A8" s="11" t="s">
        <v>15</v>
      </c>
      <c r="B8" s="11" t="s">
        <v>21</v>
      </c>
    </row>
    <row r="9" spans="1:2" ht="17.25" x14ac:dyDescent="0.25">
      <c r="A9" s="11" t="s">
        <v>16</v>
      </c>
      <c r="B9" s="11" t="s">
        <v>22</v>
      </c>
    </row>
    <row r="10" spans="1:2" ht="17.25" x14ac:dyDescent="0.25">
      <c r="A10" s="11" t="s">
        <v>13</v>
      </c>
      <c r="B10" s="11" t="s">
        <v>23</v>
      </c>
    </row>
    <row r="11" spans="1:2" ht="17.25" x14ac:dyDescent="0.25">
      <c r="A11" s="11" t="s">
        <v>17</v>
      </c>
      <c r="B11" s="11" t="s">
        <v>24</v>
      </c>
    </row>
    <row r="12" spans="1:2" ht="17.25" x14ac:dyDescent="0.25">
      <c r="A12" s="11" t="s">
        <v>18</v>
      </c>
      <c r="B12" s="11" t="s">
        <v>25</v>
      </c>
    </row>
    <row r="13" spans="1:2" ht="15.75" x14ac:dyDescent="0.25">
      <c r="A13" s="24"/>
      <c r="B13" s="26"/>
    </row>
  </sheetData>
  <mergeCells count="2">
    <mergeCell ref="A4:B4"/>
    <mergeCell ref="A3:B3"/>
  </mergeCells>
  <pageMargins left="0.511811024" right="0.511811024" top="0.78740157499999996" bottom="0.78740157499999996" header="0.31496062000000002" footer="0.31496062000000002"/>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1" enableFormatConditionsCalculation="0">
    <tabColor rgb="FF003978"/>
  </sheetPr>
  <dimension ref="A1:CG28"/>
  <sheetViews>
    <sheetView showGridLines="0" workbookViewId="0"/>
  </sheetViews>
  <sheetFormatPr defaultColWidth="8.85546875" defaultRowHeight="15" zeroHeight="1" x14ac:dyDescent="0.25"/>
  <cols>
    <col min="1" max="1" width="3" style="6" customWidth="1"/>
    <col min="2" max="2" width="27.85546875" customWidth="1"/>
    <col min="3" max="3" width="44" customWidth="1"/>
    <col min="4" max="4" width="13.7109375" customWidth="1"/>
    <col min="5" max="5" width="64.28515625" customWidth="1"/>
    <col min="6" max="6" width="14.140625" customWidth="1"/>
    <col min="7" max="7" width="15" customWidth="1"/>
    <col min="8" max="8" width="9.85546875" customWidth="1"/>
    <col min="10" max="85" width="8.85546875" style="19"/>
  </cols>
  <sheetData>
    <row r="1" spans="1:85" s="110" customFormat="1" ht="16.5" thickTop="1" x14ac:dyDescent="0.25">
      <c r="A1" s="454"/>
      <c r="B1" s="1553" t="s">
        <v>494</v>
      </c>
      <c r="C1" s="1554"/>
      <c r="D1" s="1554"/>
      <c r="E1" s="1554"/>
      <c r="F1" s="1554"/>
      <c r="G1" s="1554"/>
      <c r="H1" s="1555"/>
      <c r="I1" s="454"/>
      <c r="J1" s="411"/>
      <c r="K1" s="411"/>
      <c r="L1" s="411"/>
      <c r="M1" s="411"/>
      <c r="N1" s="411"/>
      <c r="O1" s="411"/>
      <c r="P1" s="411"/>
      <c r="Q1" s="411"/>
      <c r="R1" s="411"/>
      <c r="S1" s="411"/>
      <c r="T1" s="411"/>
      <c r="U1" s="411"/>
      <c r="V1" s="411"/>
      <c r="W1" s="411"/>
      <c r="X1" s="411"/>
      <c r="Y1" s="411"/>
      <c r="Z1" s="411"/>
      <c r="AA1" s="411"/>
      <c r="AB1" s="411"/>
      <c r="AC1" s="411"/>
      <c r="AD1" s="411"/>
      <c r="AE1" s="411"/>
      <c r="AF1" s="411"/>
      <c r="AG1" s="411"/>
      <c r="AH1" s="411"/>
      <c r="AI1" s="411"/>
      <c r="AJ1" s="411"/>
      <c r="AK1" s="411"/>
      <c r="AL1" s="411"/>
      <c r="AM1" s="411"/>
      <c r="AN1" s="411"/>
      <c r="AO1" s="411"/>
      <c r="AP1" s="411"/>
      <c r="AQ1" s="411"/>
      <c r="AR1" s="411"/>
      <c r="AS1" s="411"/>
      <c r="AT1" s="411"/>
      <c r="AU1" s="411"/>
      <c r="AV1" s="411"/>
      <c r="AW1" s="411"/>
      <c r="AX1" s="411"/>
      <c r="AY1" s="411"/>
      <c r="AZ1" s="411"/>
      <c r="BA1" s="411"/>
      <c r="BB1" s="411"/>
      <c r="BC1" s="411"/>
      <c r="BD1" s="411"/>
      <c r="BE1" s="411"/>
      <c r="BF1" s="411"/>
      <c r="BG1" s="411"/>
      <c r="BH1" s="411"/>
      <c r="BI1" s="411"/>
      <c r="BJ1" s="411"/>
      <c r="BK1" s="411"/>
      <c r="BL1" s="411"/>
      <c r="BM1" s="411"/>
      <c r="BN1" s="411"/>
      <c r="BO1" s="411"/>
      <c r="BP1" s="411"/>
      <c r="BQ1" s="411"/>
      <c r="BR1" s="411"/>
      <c r="BS1" s="411"/>
      <c r="BT1" s="411"/>
      <c r="BU1" s="411"/>
      <c r="BV1" s="411"/>
      <c r="BW1" s="411"/>
      <c r="BX1" s="411"/>
      <c r="BY1" s="411"/>
      <c r="BZ1" s="411"/>
      <c r="CA1" s="411"/>
      <c r="CB1" s="411"/>
      <c r="CC1" s="411"/>
      <c r="CD1" s="411"/>
      <c r="CE1" s="411"/>
      <c r="CF1" s="411"/>
      <c r="CG1" s="411"/>
    </row>
    <row r="2" spans="1:85" s="6" customFormat="1" x14ac:dyDescent="0.25">
      <c r="B2" s="92"/>
      <c r="C2" s="1"/>
      <c r="D2" s="1"/>
      <c r="E2" s="1"/>
      <c r="F2" s="1"/>
      <c r="G2" s="1"/>
      <c r="H2" s="93"/>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row>
    <row r="3" spans="1:85" s="6" customFormat="1" ht="15.75" x14ac:dyDescent="0.25">
      <c r="B3" s="94" t="s">
        <v>490</v>
      </c>
      <c r="C3" s="1"/>
      <c r="D3" s="1"/>
      <c r="E3" s="1"/>
      <c r="F3" s="1"/>
      <c r="G3" s="1"/>
      <c r="H3" s="93"/>
      <c r="J3" s="19"/>
      <c r="K3" s="19"/>
      <c r="L3" s="19"/>
      <c r="M3" s="19"/>
      <c r="N3" s="19"/>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row>
    <row r="4" spans="1:85" x14ac:dyDescent="0.25">
      <c r="B4" s="95" t="s">
        <v>4</v>
      </c>
      <c r="C4" s="1556"/>
      <c r="D4" s="1557"/>
      <c r="E4" s="1558"/>
      <c r="F4" s="1"/>
      <c r="G4" s="1"/>
      <c r="H4" s="93"/>
    </row>
    <row r="5" spans="1:85" x14ac:dyDescent="0.25">
      <c r="B5" s="96" t="s">
        <v>491</v>
      </c>
      <c r="C5" s="1556"/>
      <c r="D5" s="1557"/>
      <c r="E5" s="1558"/>
      <c r="F5" s="13"/>
      <c r="G5" s="13"/>
      <c r="H5" s="93"/>
    </row>
    <row r="6" spans="1:85" x14ac:dyDescent="0.25">
      <c r="B6" s="96" t="s">
        <v>1387</v>
      </c>
      <c r="C6" s="1556"/>
      <c r="D6" s="1557"/>
      <c r="E6" s="1558"/>
      <c r="F6" s="13"/>
      <c r="G6" s="13"/>
      <c r="H6" s="93"/>
    </row>
    <row r="7" spans="1:85" s="6" customFormat="1" x14ac:dyDescent="0.25">
      <c r="B7" s="97"/>
      <c r="C7" s="17"/>
      <c r="D7" s="13"/>
      <c r="E7" s="1"/>
      <c r="F7" s="13"/>
      <c r="G7" s="13"/>
      <c r="H7" s="93"/>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row>
    <row r="8" spans="1:85" s="6" customFormat="1" ht="15.75" x14ac:dyDescent="0.25">
      <c r="B8" s="98" t="s">
        <v>493</v>
      </c>
      <c r="C8" s="17"/>
      <c r="D8" s="13"/>
      <c r="E8" s="1"/>
      <c r="F8" s="13"/>
      <c r="G8" s="13"/>
      <c r="H8" s="93"/>
      <c r="J8" s="19"/>
      <c r="K8" s="19"/>
      <c r="L8" s="19"/>
      <c r="M8" s="19"/>
      <c r="N8" s="19"/>
      <c r="O8" s="19"/>
      <c r="P8" s="19"/>
      <c r="Q8" s="19"/>
      <c r="R8" s="19"/>
      <c r="S8" s="19"/>
      <c r="T8" s="19"/>
      <c r="U8" s="19"/>
      <c r="V8" s="19"/>
      <c r="W8" s="19"/>
      <c r="X8" s="19"/>
      <c r="Y8" s="19"/>
      <c r="Z8" s="19"/>
      <c r="AA8" s="19"/>
      <c r="AB8" s="19"/>
      <c r="AC8" s="19"/>
      <c r="AD8" s="19"/>
      <c r="AE8" s="19"/>
      <c r="AF8" s="19"/>
      <c r="AG8" s="19"/>
      <c r="AH8" s="19"/>
      <c r="AI8" s="19"/>
      <c r="AJ8" s="19"/>
      <c r="AK8" s="19"/>
      <c r="AL8" s="19"/>
      <c r="AM8" s="19"/>
      <c r="AN8" s="19"/>
      <c r="AO8" s="19"/>
      <c r="AP8" s="19"/>
      <c r="AQ8" s="19"/>
      <c r="AR8" s="19"/>
      <c r="AS8" s="19"/>
      <c r="AT8" s="19"/>
      <c r="AU8" s="19"/>
      <c r="AV8" s="19"/>
      <c r="AW8" s="19"/>
      <c r="AX8" s="19"/>
      <c r="AY8" s="19"/>
      <c r="AZ8" s="19"/>
      <c r="BA8" s="19"/>
      <c r="BB8" s="19"/>
      <c r="BC8" s="19"/>
      <c r="BD8" s="19"/>
      <c r="BE8" s="19"/>
      <c r="BF8" s="19"/>
      <c r="BG8" s="19"/>
      <c r="BH8" s="19"/>
      <c r="BI8" s="19"/>
      <c r="BJ8" s="19"/>
      <c r="BK8" s="19"/>
      <c r="BL8" s="19"/>
      <c r="BM8" s="19"/>
      <c r="BN8" s="19"/>
      <c r="BO8" s="19"/>
      <c r="BP8" s="19"/>
      <c r="BQ8" s="19"/>
      <c r="BR8" s="19"/>
      <c r="BS8" s="19"/>
      <c r="BT8" s="19"/>
      <c r="BU8" s="19"/>
      <c r="BV8" s="19"/>
      <c r="BW8" s="19"/>
      <c r="BX8" s="19"/>
      <c r="BY8" s="19"/>
      <c r="BZ8" s="19"/>
      <c r="CA8" s="19"/>
      <c r="CB8" s="19"/>
      <c r="CC8" s="19"/>
      <c r="CD8" s="19"/>
      <c r="CE8" s="19"/>
      <c r="CF8" s="19"/>
      <c r="CG8" s="19"/>
    </row>
    <row r="9" spans="1:85" s="6" customFormat="1" x14ac:dyDescent="0.25">
      <c r="B9" s="1559"/>
      <c r="C9" s="1559"/>
      <c r="D9" s="1559"/>
      <c r="E9" s="1559"/>
      <c r="F9" s="1559"/>
      <c r="G9" s="1559"/>
      <c r="H9" s="1559"/>
      <c r="J9" s="19"/>
      <c r="K9" s="19"/>
      <c r="L9" s="19"/>
      <c r="M9" s="19"/>
      <c r="N9" s="19"/>
      <c r="O9" s="19"/>
      <c r="P9" s="19"/>
      <c r="Q9" s="19"/>
      <c r="R9" s="19"/>
      <c r="S9" s="19"/>
      <c r="T9" s="19"/>
      <c r="U9" s="19"/>
      <c r="V9" s="19"/>
      <c r="W9" s="19"/>
      <c r="X9" s="19"/>
      <c r="Y9" s="19"/>
      <c r="Z9" s="19"/>
      <c r="AA9" s="19"/>
      <c r="AB9" s="19"/>
      <c r="AC9" s="19"/>
      <c r="AD9" s="19"/>
      <c r="AE9" s="19"/>
      <c r="AF9" s="19"/>
      <c r="AG9" s="19"/>
      <c r="AH9" s="19"/>
      <c r="AI9" s="19"/>
      <c r="AJ9" s="19"/>
      <c r="AK9" s="19"/>
      <c r="AL9" s="19"/>
      <c r="AM9" s="19"/>
      <c r="AN9" s="19"/>
      <c r="AO9" s="19"/>
      <c r="AP9" s="19"/>
      <c r="AQ9" s="19"/>
      <c r="AR9" s="19"/>
      <c r="AS9" s="19"/>
      <c r="AT9" s="19"/>
      <c r="AU9" s="19"/>
      <c r="AV9" s="19"/>
      <c r="AW9" s="19"/>
      <c r="AX9" s="19"/>
      <c r="AY9" s="19"/>
      <c r="AZ9" s="19"/>
      <c r="BA9" s="19"/>
      <c r="BB9" s="19"/>
      <c r="BC9" s="19"/>
      <c r="BD9" s="19"/>
      <c r="BE9" s="19"/>
      <c r="BF9" s="19"/>
      <c r="BG9" s="19"/>
      <c r="BH9" s="19"/>
      <c r="BI9" s="19"/>
      <c r="BJ9" s="19"/>
      <c r="BK9" s="19"/>
      <c r="BL9" s="19"/>
      <c r="BM9" s="19"/>
      <c r="BN9" s="19"/>
      <c r="BO9" s="19"/>
      <c r="BP9" s="19"/>
      <c r="BQ9" s="19"/>
      <c r="BR9" s="19"/>
      <c r="BS9" s="19"/>
      <c r="BT9" s="19"/>
      <c r="BU9" s="19"/>
      <c r="BV9" s="19"/>
      <c r="BW9" s="19"/>
      <c r="BX9" s="19"/>
      <c r="BY9" s="19"/>
      <c r="BZ9" s="19"/>
      <c r="CA9" s="19"/>
      <c r="CB9" s="19"/>
      <c r="CC9" s="19"/>
      <c r="CD9" s="19"/>
      <c r="CE9" s="19"/>
      <c r="CF9" s="19"/>
      <c r="CG9" s="19"/>
    </row>
    <row r="10" spans="1:85" s="2" customFormat="1" x14ac:dyDescent="0.25">
      <c r="B10" s="1559"/>
      <c r="C10" s="1559"/>
      <c r="D10" s="1559"/>
      <c r="E10" s="1559"/>
      <c r="F10" s="1559"/>
      <c r="G10" s="1559"/>
      <c r="H10" s="1559"/>
      <c r="J10" s="19"/>
      <c r="K10" s="19"/>
      <c r="L10" s="19"/>
      <c r="M10" s="19"/>
      <c r="N10" s="19"/>
      <c r="O10" s="19"/>
      <c r="P10" s="19"/>
      <c r="Q10" s="19"/>
      <c r="R10" s="19"/>
      <c r="S10" s="19"/>
      <c r="T10" s="19"/>
      <c r="U10" s="19"/>
      <c r="V10" s="19"/>
      <c r="W10" s="19"/>
      <c r="X10" s="19"/>
      <c r="Y10" s="19"/>
      <c r="Z10" s="19"/>
      <c r="AA10" s="19"/>
      <c r="AB10" s="19"/>
      <c r="AC10" s="19"/>
      <c r="AD10" s="19"/>
      <c r="AE10" s="19"/>
      <c r="AF10" s="19"/>
      <c r="AG10" s="19"/>
      <c r="AH10" s="19"/>
      <c r="AI10" s="19"/>
      <c r="AJ10" s="19"/>
      <c r="AK10" s="19"/>
      <c r="AL10" s="19"/>
      <c r="AM10" s="19"/>
      <c r="AN10" s="19"/>
      <c r="AO10" s="19"/>
      <c r="AP10" s="19"/>
      <c r="AQ10" s="19"/>
      <c r="AR10" s="19"/>
      <c r="AS10" s="19"/>
      <c r="AT10" s="19"/>
      <c r="AU10" s="19"/>
      <c r="AV10" s="19"/>
      <c r="AW10" s="19"/>
      <c r="AX10" s="19"/>
      <c r="AY10" s="19"/>
      <c r="AZ10" s="19"/>
      <c r="BA10" s="19"/>
      <c r="BB10" s="19"/>
      <c r="BC10" s="19"/>
      <c r="BD10" s="19"/>
      <c r="BE10" s="19"/>
      <c r="BF10" s="19"/>
      <c r="BG10" s="19"/>
      <c r="BH10" s="19"/>
      <c r="BI10" s="19"/>
      <c r="BJ10" s="19"/>
      <c r="BK10" s="19"/>
      <c r="BL10" s="19"/>
      <c r="BM10" s="19"/>
      <c r="BN10" s="19"/>
      <c r="BO10" s="19"/>
      <c r="BP10" s="19"/>
      <c r="BQ10" s="19"/>
      <c r="BR10" s="19"/>
      <c r="BS10" s="19"/>
      <c r="BT10" s="19"/>
      <c r="BU10" s="19"/>
      <c r="BV10" s="19"/>
      <c r="BW10" s="19"/>
      <c r="BX10" s="19"/>
      <c r="BY10" s="19"/>
      <c r="BZ10" s="19"/>
      <c r="CA10" s="19"/>
      <c r="CB10" s="19"/>
      <c r="CC10" s="19"/>
      <c r="CD10" s="19"/>
      <c r="CE10" s="19"/>
      <c r="CF10" s="19"/>
      <c r="CG10" s="19"/>
    </row>
    <row r="11" spans="1:85" s="19" customFormat="1" x14ac:dyDescent="0.25">
      <c r="B11" s="99"/>
      <c r="C11" s="18"/>
      <c r="D11" s="18"/>
      <c r="E11" s="18"/>
      <c r="F11" s="18"/>
      <c r="G11" s="18"/>
      <c r="H11" s="52"/>
    </row>
    <row r="12" spans="1:85" ht="15.75" x14ac:dyDescent="0.25">
      <c r="B12" s="1550" t="s">
        <v>492</v>
      </c>
      <c r="C12" s="1551"/>
      <c r="D12" s="1551"/>
      <c r="E12" s="1551"/>
      <c r="F12" s="1551"/>
      <c r="G12" s="1551"/>
      <c r="H12" s="1552"/>
    </row>
    <row r="13" spans="1:85" x14ac:dyDescent="0.25">
      <c r="B13" s="96" t="s">
        <v>5</v>
      </c>
      <c r="C13" s="1218" t="s">
        <v>12</v>
      </c>
      <c r="D13" s="1217" t="s">
        <v>1583</v>
      </c>
      <c r="E13" s="1237"/>
      <c r="F13" s="16"/>
      <c r="G13" s="13"/>
      <c r="H13" s="93"/>
    </row>
    <row r="14" spans="1:85" x14ac:dyDescent="0.25">
      <c r="B14" s="96" t="s">
        <v>6</v>
      </c>
      <c r="C14" s="1218" t="s">
        <v>12</v>
      </c>
      <c r="D14" s="1236"/>
      <c r="E14" s="766"/>
      <c r="F14" s="16"/>
      <c r="G14" s="13"/>
      <c r="H14" s="93"/>
    </row>
    <row r="15" spans="1:85" hidden="1" x14ac:dyDescent="0.25">
      <c r="B15" s="100" t="s">
        <v>10</v>
      </c>
      <c r="C15" s="1219"/>
      <c r="D15" s="1200" t="s">
        <v>1504</v>
      </c>
      <c r="E15" s="16"/>
      <c r="F15" s="1"/>
      <c r="G15" s="13"/>
      <c r="H15" s="93"/>
    </row>
    <row r="16" spans="1:85" x14ac:dyDescent="0.25">
      <c r="B16" s="101" t="s">
        <v>7</v>
      </c>
      <c r="C16" s="1220" t="s">
        <v>12</v>
      </c>
      <c r="D16" s="1200"/>
      <c r="E16" s="16"/>
      <c r="F16" s="1"/>
      <c r="G16" s="13"/>
      <c r="H16" s="93"/>
    </row>
    <row r="17" spans="2:9" ht="15.75" customHeight="1" x14ac:dyDescent="0.25">
      <c r="B17" s="101" t="s">
        <v>8</v>
      </c>
      <c r="C17" s="1100"/>
      <c r="D17" s="1200"/>
      <c r="E17" s="16"/>
      <c r="F17" s="1"/>
      <c r="G17" s="13"/>
      <c r="H17" s="93"/>
    </row>
    <row r="18" spans="2:9" x14ac:dyDescent="0.25">
      <c r="B18" s="101" t="s">
        <v>9</v>
      </c>
      <c r="C18" s="1100"/>
      <c r="D18" s="1200"/>
      <c r="E18" s="17"/>
      <c r="F18" s="1"/>
      <c r="G18" s="13"/>
      <c r="H18" s="93"/>
    </row>
    <row r="19" spans="2:9" ht="125.25" customHeight="1" x14ac:dyDescent="0.25">
      <c r="B19" s="102" t="s">
        <v>11</v>
      </c>
      <c r="C19" s="1101"/>
      <c r="D19" s="1200"/>
      <c r="E19" s="268"/>
      <c r="F19" s="1"/>
      <c r="G19" s="13"/>
      <c r="H19" s="93"/>
      <c r="I19" s="1"/>
    </row>
    <row r="20" spans="2:9" ht="22.5" customHeight="1" x14ac:dyDescent="0.25">
      <c r="B20" s="103"/>
      <c r="C20" s="17"/>
      <c r="D20" s="17"/>
      <c r="E20" s="16"/>
      <c r="F20" s="1"/>
      <c r="G20" s="14"/>
      <c r="H20" s="104"/>
      <c r="I20" s="1"/>
    </row>
    <row r="21" spans="2:9" ht="15.75" thickBot="1" x14ac:dyDescent="0.3">
      <c r="B21" s="105"/>
      <c r="C21" s="106"/>
      <c r="D21" s="106"/>
      <c r="E21" s="106"/>
      <c r="F21" s="107"/>
      <c r="G21" s="108"/>
      <c r="H21" s="109"/>
    </row>
    <row r="22" spans="2:9" ht="15.75" thickTop="1" x14ac:dyDescent="0.25">
      <c r="B22" s="15"/>
      <c r="C22" s="15"/>
      <c r="D22" s="15"/>
      <c r="E22" s="15"/>
      <c r="G22" s="12"/>
    </row>
    <row r="23" spans="2:9" hidden="1" x14ac:dyDescent="0.25">
      <c r="B23" s="12"/>
      <c r="G23" s="12"/>
    </row>
    <row r="24" spans="2:9" hidden="1" x14ac:dyDescent="0.25">
      <c r="B24" s="12"/>
      <c r="G24" s="12"/>
    </row>
    <row r="25" spans="2:9" hidden="1" x14ac:dyDescent="0.25">
      <c r="B25" s="12"/>
      <c r="C25" s="15"/>
      <c r="D25" s="15"/>
      <c r="E25" s="15"/>
      <c r="F25" s="15"/>
      <c r="G25" s="12"/>
    </row>
    <row r="26" spans="2:9" hidden="1" x14ac:dyDescent="0.25">
      <c r="B26" s="12"/>
      <c r="C26" s="15"/>
      <c r="D26" s="15"/>
      <c r="E26" s="15"/>
      <c r="F26" s="15"/>
      <c r="G26" s="12"/>
    </row>
    <row r="27" spans="2:9" hidden="1" x14ac:dyDescent="0.25">
      <c r="B27" s="12"/>
      <c r="C27" s="15"/>
      <c r="D27" s="15"/>
      <c r="E27" s="15"/>
      <c r="F27" s="15"/>
      <c r="G27" s="12"/>
    </row>
    <row r="28" spans="2:9" hidden="1" x14ac:dyDescent="0.25">
      <c r="B28" s="12"/>
      <c r="C28" s="12"/>
      <c r="D28" s="12"/>
      <c r="E28" s="12"/>
      <c r="F28" s="12"/>
      <c r="G28" s="12"/>
    </row>
  </sheetData>
  <mergeCells count="6">
    <mergeCell ref="B12:H12"/>
    <mergeCell ref="B1:H1"/>
    <mergeCell ref="C4:E4"/>
    <mergeCell ref="C5:E5"/>
    <mergeCell ref="C6:E6"/>
    <mergeCell ref="B9:H10"/>
  </mergeCells>
  <conditionalFormatting sqref="C17">
    <cfRule type="expression" dxfId="8" priority="1">
      <formula>$C$16="Direcionada a Projeto"</formula>
    </cfRule>
  </conditionalFormatting>
  <dataValidations xWindow="333" yWindow="450" count="3">
    <dataValidation type="list" allowBlank="1" showInputMessage="1" showErrorMessage="1" sqref="C13 C15">
      <formula1>"Selecione, Empresa, Unidade de negócio, Linha de produto/serviço, Planta industrial, Processo produtivo, Propriedade, Outros"</formula1>
    </dataValidation>
    <dataValidation type="list" allowBlank="1" showInputMessage="1" showErrorMessage="1" sqref="C14">
      <formula1>"Selecione,Inventário, Projeto"</formula1>
    </dataValidation>
    <dataValidation type="list" allowBlank="1" showInputMessage="1" showErrorMessage="1" sqref="C16">
      <formula1>"Selecione, Operações próprias, Cadeia de Valor - Downstream, Cadeia de Valor - Upstream, "</formula1>
    </dataValidation>
  </dataValidations>
  <pageMargins left="0.511811024" right="0.511811024" top="0.78740157499999996" bottom="0.78740157499999996" header="0.31496062000000002" footer="0.31496062000000002"/>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53" r:id="rId4" name="Check Box 29">
              <controlPr defaultSize="0" autoFill="0" autoLine="0" autoPict="0">
                <anchor moveWithCells="1">
                  <from>
                    <xdr:col>2</xdr:col>
                    <xdr:colOff>66675</xdr:colOff>
                    <xdr:row>18</xdr:row>
                    <xdr:rowOff>38100</xdr:rowOff>
                  </from>
                  <to>
                    <xdr:col>2</xdr:col>
                    <xdr:colOff>2695575</xdr:colOff>
                    <xdr:row>18</xdr:row>
                    <xdr:rowOff>257175</xdr:rowOff>
                  </to>
                </anchor>
              </controlPr>
            </control>
          </mc:Choice>
        </mc:AlternateContent>
        <mc:AlternateContent xmlns:mc="http://schemas.openxmlformats.org/markup-compatibility/2006">
          <mc:Choice Requires="x14">
            <control shapeId="1054" r:id="rId5" name="Check Box 30">
              <controlPr defaultSize="0" autoFill="0" autoLine="0" autoPict="0">
                <anchor moveWithCells="1">
                  <from>
                    <xdr:col>2</xdr:col>
                    <xdr:colOff>66675</xdr:colOff>
                    <xdr:row>18</xdr:row>
                    <xdr:rowOff>190500</xdr:rowOff>
                  </from>
                  <to>
                    <xdr:col>2</xdr:col>
                    <xdr:colOff>2695575</xdr:colOff>
                    <xdr:row>18</xdr:row>
                    <xdr:rowOff>409575</xdr:rowOff>
                  </to>
                </anchor>
              </controlPr>
            </control>
          </mc:Choice>
        </mc:AlternateContent>
        <mc:AlternateContent xmlns:mc="http://schemas.openxmlformats.org/markup-compatibility/2006">
          <mc:Choice Requires="x14">
            <control shapeId="1055" r:id="rId6" name="Check Box 31">
              <controlPr defaultSize="0" autoFill="0" autoLine="0" autoPict="0">
                <anchor moveWithCells="1">
                  <from>
                    <xdr:col>2</xdr:col>
                    <xdr:colOff>66675</xdr:colOff>
                    <xdr:row>18</xdr:row>
                    <xdr:rowOff>342900</xdr:rowOff>
                  </from>
                  <to>
                    <xdr:col>2</xdr:col>
                    <xdr:colOff>2695575</xdr:colOff>
                    <xdr:row>18</xdr:row>
                    <xdr:rowOff>561975</xdr:rowOff>
                  </to>
                </anchor>
              </controlPr>
            </control>
          </mc:Choice>
        </mc:AlternateContent>
        <mc:AlternateContent xmlns:mc="http://schemas.openxmlformats.org/markup-compatibility/2006">
          <mc:Choice Requires="x14">
            <control shapeId="1056" r:id="rId7" name="Check Box 32">
              <controlPr defaultSize="0" autoFill="0" autoLine="0" autoPict="0">
                <anchor moveWithCells="1">
                  <from>
                    <xdr:col>2</xdr:col>
                    <xdr:colOff>66675</xdr:colOff>
                    <xdr:row>18</xdr:row>
                    <xdr:rowOff>495300</xdr:rowOff>
                  </from>
                  <to>
                    <xdr:col>2</xdr:col>
                    <xdr:colOff>2695575</xdr:colOff>
                    <xdr:row>18</xdr:row>
                    <xdr:rowOff>714375</xdr:rowOff>
                  </to>
                </anchor>
              </controlPr>
            </control>
          </mc:Choice>
        </mc:AlternateContent>
        <mc:AlternateContent xmlns:mc="http://schemas.openxmlformats.org/markup-compatibility/2006">
          <mc:Choice Requires="x14">
            <control shapeId="1057" r:id="rId8" name="Check Box 33">
              <controlPr defaultSize="0" autoFill="0" autoLine="0" autoPict="0">
                <anchor moveWithCells="1">
                  <from>
                    <xdr:col>2</xdr:col>
                    <xdr:colOff>66675</xdr:colOff>
                    <xdr:row>18</xdr:row>
                    <xdr:rowOff>647700</xdr:rowOff>
                  </from>
                  <to>
                    <xdr:col>2</xdr:col>
                    <xdr:colOff>2695575</xdr:colOff>
                    <xdr:row>18</xdr:row>
                    <xdr:rowOff>866775</xdr:rowOff>
                  </to>
                </anchor>
              </controlPr>
            </control>
          </mc:Choice>
        </mc:AlternateContent>
        <mc:AlternateContent xmlns:mc="http://schemas.openxmlformats.org/markup-compatibility/2006">
          <mc:Choice Requires="x14">
            <control shapeId="1058" r:id="rId9" name="Check Box 34">
              <controlPr defaultSize="0" autoFill="0" autoLine="0" autoPict="0">
                <anchor moveWithCells="1">
                  <from>
                    <xdr:col>2</xdr:col>
                    <xdr:colOff>66675</xdr:colOff>
                    <xdr:row>18</xdr:row>
                    <xdr:rowOff>800100</xdr:rowOff>
                  </from>
                  <to>
                    <xdr:col>2</xdr:col>
                    <xdr:colOff>2695575</xdr:colOff>
                    <xdr:row>18</xdr:row>
                    <xdr:rowOff>1019175</xdr:rowOff>
                  </to>
                </anchor>
              </controlPr>
            </control>
          </mc:Choice>
        </mc:AlternateContent>
        <mc:AlternateContent xmlns:mc="http://schemas.openxmlformats.org/markup-compatibility/2006">
          <mc:Choice Requires="x14">
            <control shapeId="1059" r:id="rId10" name="Check Box 35">
              <controlPr defaultSize="0" autoFill="0" autoLine="0" autoPict="0">
                <anchor moveWithCells="1">
                  <from>
                    <xdr:col>2</xdr:col>
                    <xdr:colOff>66675</xdr:colOff>
                    <xdr:row>18</xdr:row>
                    <xdr:rowOff>952500</xdr:rowOff>
                  </from>
                  <to>
                    <xdr:col>2</xdr:col>
                    <xdr:colOff>2695575</xdr:colOff>
                    <xdr:row>18</xdr:row>
                    <xdr:rowOff>1171575</xdr:rowOff>
                  </to>
                </anchor>
              </controlPr>
            </control>
          </mc:Choice>
        </mc:AlternateContent>
        <mc:AlternateContent xmlns:mc="http://schemas.openxmlformats.org/markup-compatibility/2006">
          <mc:Choice Requires="x14">
            <control shapeId="1060" r:id="rId11" name="Check Box 36">
              <controlPr defaultSize="0" autoFill="0" autoLine="0" autoPict="0">
                <anchor moveWithCells="1">
                  <from>
                    <xdr:col>2</xdr:col>
                    <xdr:colOff>66675</xdr:colOff>
                    <xdr:row>18</xdr:row>
                    <xdr:rowOff>1104900</xdr:rowOff>
                  </from>
                  <to>
                    <xdr:col>2</xdr:col>
                    <xdr:colOff>2695575</xdr:colOff>
                    <xdr:row>18</xdr:row>
                    <xdr:rowOff>1323975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A039"/>
  </sheetPr>
  <dimension ref="A1:EO97"/>
  <sheetViews>
    <sheetView showGridLines="0" zoomScaleNormal="100" workbookViewId="0"/>
  </sheetViews>
  <sheetFormatPr defaultColWidth="0" defaultRowHeight="15" zeroHeight="1" x14ac:dyDescent="0.25"/>
  <cols>
    <col min="1" max="1" width="2.7109375" style="6" customWidth="1"/>
    <col min="2" max="2" width="3.42578125" style="6" customWidth="1"/>
    <col min="3" max="3" width="11" style="2" customWidth="1"/>
    <col min="4" max="6" width="14.7109375" style="6" customWidth="1"/>
    <col min="7" max="7" width="13.85546875" style="6" customWidth="1"/>
    <col min="8" max="8" width="16.140625" style="6" customWidth="1"/>
    <col min="9" max="11" width="14.7109375" style="6" customWidth="1"/>
    <col min="12" max="12" width="19" style="6" customWidth="1"/>
    <col min="13" max="13" width="13.140625" style="6" customWidth="1"/>
    <col min="14" max="14" width="14.7109375" style="6" customWidth="1"/>
    <col min="15" max="15" width="8.7109375" style="19" customWidth="1"/>
    <col min="16" max="19" width="14.7109375" style="19" hidden="1" customWidth="1"/>
    <col min="20" max="31" width="8.85546875" style="19" hidden="1" customWidth="1"/>
    <col min="32" max="138" width="0" style="19" hidden="1" customWidth="1"/>
    <col min="139" max="145" width="0" style="6" hidden="1" customWidth="1"/>
    <col min="146" max="16384" width="8.85546875" style="6" hidden="1"/>
  </cols>
  <sheetData>
    <row r="1" spans="1:138" s="20" customFormat="1" ht="19.5" thickBot="1" x14ac:dyDescent="0.35">
      <c r="A1" s="47"/>
      <c r="B1" s="1563" t="s">
        <v>496</v>
      </c>
      <c r="C1" s="1564"/>
      <c r="D1" s="1564"/>
      <c r="E1" s="1564"/>
      <c r="F1" s="1564"/>
      <c r="G1" s="1564"/>
      <c r="H1" s="1564"/>
      <c r="I1" s="1564"/>
      <c r="J1" s="1564"/>
      <c r="K1" s="1564"/>
      <c r="L1" s="1564"/>
      <c r="M1" s="1564"/>
      <c r="N1" s="1565"/>
      <c r="O1" s="1012"/>
      <c r="P1" s="46"/>
      <c r="Q1" s="46"/>
      <c r="R1" s="46"/>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row>
    <row r="2" spans="1:138" s="2" customFormat="1" ht="13.5" customHeight="1" thickTop="1" x14ac:dyDescent="0.3">
      <c r="B2" s="51"/>
      <c r="C2" s="1572" t="s">
        <v>1259</v>
      </c>
      <c r="D2" s="1572"/>
      <c r="E2" s="1572"/>
      <c r="F2" s="1572"/>
      <c r="G2" s="1572"/>
      <c r="H2" s="1572"/>
      <c r="I2" s="1572"/>
      <c r="J2" s="577"/>
      <c r="K2" s="585"/>
      <c r="L2" s="586"/>
      <c r="M2" s="586"/>
      <c r="N2" s="22"/>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c r="BM2" s="19"/>
      <c r="BN2" s="19"/>
      <c r="BO2" s="19"/>
      <c r="BP2" s="19"/>
      <c r="BQ2" s="19"/>
      <c r="BR2" s="19"/>
      <c r="BS2" s="19"/>
      <c r="BT2" s="19"/>
      <c r="BU2" s="19"/>
      <c r="BV2" s="19"/>
      <c r="BW2" s="19"/>
      <c r="BX2" s="19"/>
      <c r="BY2" s="19"/>
      <c r="BZ2" s="19"/>
      <c r="CA2" s="19"/>
      <c r="CB2" s="19"/>
      <c r="CC2" s="19"/>
      <c r="CD2" s="19"/>
      <c r="CE2" s="19"/>
      <c r="CF2" s="19"/>
      <c r="CG2" s="19"/>
      <c r="CH2" s="19"/>
      <c r="CI2" s="19"/>
      <c r="CJ2" s="19"/>
      <c r="CK2" s="19"/>
      <c r="CL2" s="19"/>
      <c r="CM2" s="19"/>
      <c r="CN2" s="19"/>
      <c r="CO2" s="19"/>
      <c r="CP2" s="19"/>
      <c r="CQ2" s="19"/>
      <c r="CR2" s="19"/>
      <c r="CS2" s="19"/>
      <c r="CT2" s="19"/>
      <c r="CU2" s="19"/>
      <c r="CV2" s="19"/>
      <c r="CW2" s="19"/>
      <c r="CX2" s="19"/>
      <c r="CY2" s="19"/>
      <c r="CZ2" s="19"/>
      <c r="DA2" s="19"/>
      <c r="DB2" s="19"/>
      <c r="DC2" s="19"/>
      <c r="DD2" s="19"/>
      <c r="DE2" s="19"/>
      <c r="DF2" s="19"/>
      <c r="DG2" s="19"/>
      <c r="DH2" s="19"/>
      <c r="DI2" s="19"/>
      <c r="DJ2" s="19"/>
      <c r="DK2" s="19"/>
      <c r="DL2" s="19"/>
      <c r="DM2" s="19"/>
      <c r="DN2" s="19"/>
      <c r="DO2" s="19"/>
      <c r="DP2" s="19"/>
      <c r="DQ2" s="19"/>
      <c r="DR2" s="19"/>
      <c r="DS2" s="19"/>
      <c r="DT2" s="19"/>
      <c r="DU2" s="19"/>
      <c r="DV2" s="19"/>
      <c r="DW2" s="19"/>
      <c r="DX2" s="19"/>
      <c r="DY2" s="19"/>
      <c r="DZ2" s="19"/>
      <c r="EA2" s="19"/>
      <c r="EB2" s="19"/>
      <c r="EC2" s="19"/>
      <c r="ED2" s="19"/>
      <c r="EE2" s="19"/>
      <c r="EF2" s="19"/>
      <c r="EG2" s="19"/>
      <c r="EH2" s="19"/>
    </row>
    <row r="3" spans="1:138" s="2" customFormat="1" ht="30" customHeight="1" x14ac:dyDescent="0.25">
      <c r="B3" s="51"/>
      <c r="C3" s="1571" t="s">
        <v>1591</v>
      </c>
      <c r="D3" s="1571"/>
      <c r="E3" s="1571"/>
      <c r="F3" s="1571"/>
      <c r="G3" s="1571"/>
      <c r="H3" s="1571"/>
      <c r="I3" s="1571"/>
      <c r="J3" s="1571"/>
      <c r="K3" s="1571"/>
      <c r="L3" s="1571"/>
      <c r="M3" s="586"/>
      <c r="N3" s="22"/>
      <c r="O3" s="19"/>
      <c r="P3" s="19"/>
      <c r="Q3" s="19"/>
      <c r="R3" s="19"/>
      <c r="S3" s="19"/>
      <c r="T3" s="19"/>
      <c r="U3" s="19"/>
      <c r="V3" s="19"/>
      <c r="W3" s="19"/>
      <c r="X3" s="19"/>
      <c r="Y3" s="19"/>
      <c r="Z3" s="19"/>
      <c r="AA3" s="19"/>
      <c r="AB3" s="19"/>
      <c r="AC3" s="19"/>
      <c r="AD3" s="19"/>
      <c r="AE3" s="19"/>
      <c r="AF3" s="19"/>
      <c r="AG3" s="19"/>
      <c r="AH3" s="19"/>
      <c r="AI3" s="19"/>
      <c r="AJ3" s="19"/>
      <c r="AK3" s="19"/>
      <c r="AL3" s="19"/>
      <c r="AM3" s="19"/>
      <c r="AN3" s="19"/>
      <c r="AO3" s="19"/>
      <c r="AP3" s="19"/>
      <c r="AQ3" s="19"/>
      <c r="AR3" s="19"/>
      <c r="AS3" s="19"/>
      <c r="AT3" s="19"/>
      <c r="AU3" s="19"/>
      <c r="AV3" s="19"/>
      <c r="AW3" s="19"/>
      <c r="AX3" s="19"/>
      <c r="AY3" s="19"/>
      <c r="AZ3" s="19"/>
      <c r="BA3" s="19"/>
      <c r="BB3" s="19"/>
      <c r="BC3" s="19"/>
      <c r="BD3" s="19"/>
      <c r="BE3" s="19"/>
      <c r="BF3" s="19"/>
      <c r="BG3" s="19"/>
      <c r="BH3" s="19"/>
      <c r="BI3" s="19"/>
      <c r="BJ3" s="19"/>
      <c r="BK3" s="19"/>
      <c r="BL3" s="19"/>
      <c r="BM3" s="19"/>
      <c r="BN3" s="19"/>
      <c r="BO3" s="19"/>
      <c r="BP3" s="19"/>
      <c r="BQ3" s="19"/>
      <c r="BR3" s="19"/>
      <c r="BS3" s="19"/>
      <c r="BT3" s="19"/>
      <c r="BU3" s="19"/>
      <c r="BV3" s="19"/>
      <c r="BW3" s="19"/>
      <c r="BX3" s="19"/>
      <c r="BY3" s="19"/>
      <c r="BZ3" s="19"/>
      <c r="CA3" s="19"/>
      <c r="CB3" s="19"/>
      <c r="CC3" s="19"/>
      <c r="CD3" s="19"/>
      <c r="CE3" s="19"/>
      <c r="CF3" s="19"/>
      <c r="CG3" s="19"/>
      <c r="CH3" s="19"/>
      <c r="CI3" s="19"/>
      <c r="CJ3" s="19"/>
      <c r="CK3" s="19"/>
      <c r="CL3" s="19"/>
      <c r="CM3" s="19"/>
      <c r="CN3" s="19"/>
      <c r="CO3" s="19"/>
      <c r="CP3" s="19"/>
      <c r="CQ3" s="19"/>
      <c r="CR3" s="19"/>
      <c r="CS3" s="19"/>
      <c r="CT3" s="19"/>
      <c r="CU3" s="19"/>
      <c r="CV3" s="19"/>
      <c r="CW3" s="19"/>
      <c r="CX3" s="19"/>
      <c r="CY3" s="19"/>
      <c r="CZ3" s="19"/>
      <c r="DA3" s="19"/>
      <c r="DB3" s="19"/>
      <c r="DC3" s="19"/>
      <c r="DD3" s="19"/>
      <c r="DE3" s="19"/>
      <c r="DF3" s="19"/>
      <c r="DG3" s="19"/>
      <c r="DH3" s="19"/>
      <c r="DI3" s="19"/>
      <c r="DJ3" s="19"/>
      <c r="DK3" s="19"/>
      <c r="DL3" s="19"/>
      <c r="DM3" s="19"/>
      <c r="DN3" s="19"/>
      <c r="DO3" s="19"/>
      <c r="DP3" s="19"/>
      <c r="DQ3" s="19"/>
      <c r="DR3" s="19"/>
      <c r="DS3" s="19"/>
      <c r="DT3" s="19"/>
      <c r="DU3" s="19"/>
      <c r="DV3" s="19"/>
      <c r="DW3" s="19"/>
      <c r="DX3" s="19"/>
      <c r="DY3" s="19"/>
      <c r="DZ3" s="19"/>
      <c r="EA3" s="19"/>
      <c r="EB3" s="19"/>
      <c r="EC3" s="19"/>
      <c r="ED3" s="19"/>
      <c r="EE3" s="19"/>
      <c r="EF3" s="19"/>
      <c r="EG3" s="19"/>
      <c r="EH3" s="19"/>
    </row>
    <row r="4" spans="1:138" s="2" customFormat="1" ht="18.75" customHeight="1" x14ac:dyDescent="0.25">
      <c r="B4" s="51"/>
      <c r="C4" s="1373"/>
      <c r="D4" s="1373"/>
      <c r="E4" s="1373"/>
      <c r="F4" s="1373"/>
      <c r="G4" s="1373"/>
      <c r="H4" s="1373"/>
      <c r="I4" s="1373"/>
      <c r="J4" s="1373"/>
      <c r="K4" s="1373"/>
      <c r="L4" s="1373"/>
      <c r="M4" s="586"/>
      <c r="N4" s="22"/>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19"/>
      <c r="CI4" s="19"/>
      <c r="CJ4" s="19"/>
      <c r="CK4" s="19"/>
      <c r="CL4" s="19"/>
      <c r="CM4" s="19"/>
      <c r="CN4" s="19"/>
      <c r="CO4" s="19"/>
      <c r="CP4" s="19"/>
      <c r="CQ4" s="19"/>
      <c r="CR4" s="19"/>
      <c r="CS4" s="19"/>
      <c r="CT4" s="19"/>
      <c r="CU4" s="19"/>
      <c r="CV4" s="19"/>
      <c r="CW4" s="19"/>
      <c r="CX4" s="19"/>
      <c r="CY4" s="19"/>
      <c r="CZ4" s="19"/>
      <c r="DA4" s="19"/>
      <c r="DB4" s="19"/>
      <c r="DC4" s="19"/>
      <c r="DD4" s="19"/>
      <c r="DE4" s="19"/>
      <c r="DF4" s="19"/>
      <c r="DG4" s="19"/>
      <c r="DH4" s="19"/>
      <c r="DI4" s="19"/>
      <c r="DJ4" s="19"/>
      <c r="DK4" s="19"/>
      <c r="DL4" s="19"/>
      <c r="DM4" s="19"/>
      <c r="DN4" s="19"/>
      <c r="DO4" s="19"/>
      <c r="DP4" s="19"/>
      <c r="DQ4" s="19"/>
      <c r="DR4" s="19"/>
      <c r="DS4" s="19"/>
      <c r="DT4" s="19"/>
      <c r="DU4" s="19"/>
      <c r="DV4" s="19"/>
      <c r="DW4" s="19"/>
      <c r="DX4" s="19"/>
      <c r="DY4" s="19"/>
      <c r="DZ4" s="19"/>
      <c r="EA4" s="19"/>
      <c r="EB4" s="19"/>
      <c r="EC4" s="19"/>
      <c r="ED4" s="19"/>
      <c r="EE4" s="19"/>
      <c r="EF4" s="19"/>
      <c r="EG4" s="19"/>
      <c r="EH4" s="19"/>
    </row>
    <row r="5" spans="1:138" s="23" customFormat="1" ht="15.75" x14ac:dyDescent="0.25">
      <c r="B5" s="1566" t="s">
        <v>495</v>
      </c>
      <c r="C5" s="1567"/>
      <c r="D5" s="1567"/>
      <c r="E5" s="1567"/>
      <c r="F5" s="1567"/>
      <c r="G5" s="1567"/>
      <c r="H5" s="1567"/>
      <c r="I5" s="1567"/>
      <c r="J5" s="1567"/>
      <c r="K5" s="1567"/>
      <c r="L5" s="1567"/>
      <c r="M5" s="1567"/>
      <c r="N5" s="1568"/>
      <c r="O5" s="24"/>
      <c r="P5" s="24"/>
      <c r="Q5" s="24"/>
      <c r="R5" s="24"/>
      <c r="S5" s="24"/>
    </row>
    <row r="6" spans="1:138" s="23" customFormat="1" ht="16.5" thickBot="1" x14ac:dyDescent="0.3">
      <c r="B6" s="45"/>
      <c r="C6" s="587"/>
      <c r="D6" s="1451"/>
      <c r="E6" s="1451"/>
      <c r="F6" s="1451"/>
      <c r="G6" s="1451"/>
      <c r="H6" s="1451"/>
      <c r="I6" s="1451"/>
      <c r="J6" s="1451"/>
      <c r="K6" s="1451"/>
      <c r="L6" s="1451"/>
      <c r="M6" s="24"/>
      <c r="N6" s="22"/>
      <c r="O6" s="24"/>
      <c r="P6" s="24"/>
      <c r="Q6" s="24"/>
      <c r="R6" s="24"/>
      <c r="S6" s="24"/>
    </row>
    <row r="7" spans="1:138" s="23" customFormat="1" ht="15.75" x14ac:dyDescent="0.25">
      <c r="B7" s="45"/>
      <c r="C7" s="587"/>
      <c r="D7" s="111" t="s">
        <v>534</v>
      </c>
      <c r="E7" s="112"/>
      <c r="F7" s="112"/>
      <c r="G7" s="112"/>
      <c r="H7" s="112"/>
      <c r="I7" s="112"/>
      <c r="J7" s="1408" t="s">
        <v>504</v>
      </c>
      <c r="K7" s="1408" t="s">
        <v>30</v>
      </c>
      <c r="L7" s="1431" t="s">
        <v>536</v>
      </c>
      <c r="M7" s="24"/>
      <c r="N7" s="22"/>
      <c r="O7" s="24"/>
      <c r="P7" s="24"/>
      <c r="Q7" s="24"/>
      <c r="R7" s="24"/>
      <c r="S7" s="24"/>
    </row>
    <row r="8" spans="1:138" s="23" customFormat="1" ht="15.75" x14ac:dyDescent="0.25">
      <c r="B8" s="45"/>
      <c r="C8" s="587"/>
      <c r="D8" s="1569" t="s">
        <v>0</v>
      </c>
      <c r="E8" s="1570"/>
      <c r="F8" s="1570"/>
      <c r="G8" s="1570"/>
      <c r="H8" s="1570"/>
      <c r="I8" s="1570"/>
      <c r="J8" s="1570"/>
      <c r="K8" s="1418"/>
      <c r="L8" s="1015"/>
      <c r="M8" s="24"/>
      <c r="N8" s="22"/>
      <c r="O8" s="24"/>
      <c r="P8" s="24"/>
      <c r="Q8" s="24"/>
      <c r="R8" s="24"/>
      <c r="S8" s="24"/>
    </row>
    <row r="9" spans="1:138" s="23" customFormat="1" ht="18" x14ac:dyDescent="0.3">
      <c r="B9" s="45"/>
      <c r="C9" s="24"/>
      <c r="D9" s="929" t="s">
        <v>1240</v>
      </c>
      <c r="E9" s="930"/>
      <c r="F9" s="930"/>
      <c r="G9" s="930"/>
      <c r="H9" s="930"/>
      <c r="I9" s="930"/>
      <c r="J9" s="1024"/>
      <c r="K9" s="366" t="s">
        <v>497</v>
      </c>
      <c r="L9" s="1002"/>
      <c r="M9" s="24"/>
      <c r="N9" s="32"/>
      <c r="O9" s="24"/>
      <c r="P9" s="24"/>
      <c r="Q9" s="24"/>
      <c r="R9" s="24"/>
      <c r="S9" s="24"/>
    </row>
    <row r="10" spans="1:138" s="23" customFormat="1" ht="18" x14ac:dyDescent="0.3">
      <c r="B10" s="45"/>
      <c r="C10" s="24"/>
      <c r="D10" s="49" t="s">
        <v>1241</v>
      </c>
      <c r="E10" s="34"/>
      <c r="F10" s="34"/>
      <c r="G10" s="34"/>
      <c r="H10" s="34"/>
      <c r="I10" s="34"/>
      <c r="J10" s="1018"/>
      <c r="K10" s="1419" t="s">
        <v>497</v>
      </c>
      <c r="L10" s="1000"/>
      <c r="M10" s="24"/>
      <c r="N10" s="22"/>
      <c r="O10" s="24"/>
      <c r="P10" s="24"/>
      <c r="Q10" s="24"/>
      <c r="R10" s="24"/>
      <c r="S10" s="24"/>
    </row>
    <row r="11" spans="1:138" s="23" customFormat="1" ht="18" x14ac:dyDescent="0.3">
      <c r="A11" s="24"/>
      <c r="B11" s="45"/>
      <c r="C11" s="24"/>
      <c r="D11" s="49" t="s">
        <v>1242</v>
      </c>
      <c r="E11" s="34"/>
      <c r="F11" s="34"/>
      <c r="G11" s="34"/>
      <c r="H11" s="34"/>
      <c r="I11" s="34"/>
      <c r="J11" s="1023" t="str">
        <f>IF(J9="","",J9+J10)</f>
        <v/>
      </c>
      <c r="K11" s="366" t="s">
        <v>497</v>
      </c>
      <c r="L11" s="1001"/>
      <c r="M11" s="24"/>
      <c r="N11" s="22"/>
      <c r="O11" s="24"/>
      <c r="P11" s="24"/>
      <c r="Q11" s="24"/>
      <c r="R11" s="24"/>
      <c r="S11" s="24"/>
    </row>
    <row r="12" spans="1:138" s="23" customFormat="1" ht="16.5" x14ac:dyDescent="0.3">
      <c r="A12" s="24"/>
      <c r="B12" s="45"/>
      <c r="C12" s="24"/>
      <c r="D12" s="49" t="s">
        <v>1243</v>
      </c>
      <c r="E12" s="34"/>
      <c r="F12" s="34"/>
      <c r="G12" s="34"/>
      <c r="H12" s="34"/>
      <c r="I12" s="34"/>
      <c r="J12" s="466"/>
      <c r="K12" s="1420" t="s">
        <v>12</v>
      </c>
      <c r="L12" s="1002"/>
      <c r="M12" s="24"/>
      <c r="N12" s="22"/>
      <c r="O12" s="24"/>
      <c r="P12" s="24"/>
      <c r="Q12" s="24"/>
      <c r="R12" s="24"/>
      <c r="S12" s="24"/>
    </row>
    <row r="13" spans="1:138" s="23" customFormat="1" ht="15.75" x14ac:dyDescent="0.25">
      <c r="A13" s="24"/>
      <c r="B13" s="45"/>
      <c r="C13" s="24"/>
      <c r="D13" s="1569" t="s">
        <v>1</v>
      </c>
      <c r="E13" s="1570"/>
      <c r="F13" s="1570"/>
      <c r="G13" s="1570"/>
      <c r="H13" s="1570"/>
      <c r="I13" s="1570"/>
      <c r="J13" s="1570"/>
      <c r="K13" s="56"/>
      <c r="L13" s="1016"/>
      <c r="M13" s="24"/>
      <c r="N13" s="22"/>
      <c r="O13" s="24"/>
      <c r="P13" s="24"/>
      <c r="Q13" s="24"/>
      <c r="R13" s="24"/>
      <c r="S13" s="24"/>
    </row>
    <row r="14" spans="1:138" s="23" customFormat="1" ht="18" x14ac:dyDescent="0.3">
      <c r="A14" s="24"/>
      <c r="B14" s="45"/>
      <c r="C14" s="24"/>
      <c r="D14" s="49" t="s">
        <v>1241</v>
      </c>
      <c r="E14" s="34"/>
      <c r="F14" s="34"/>
      <c r="G14" s="34"/>
      <c r="H14" s="34"/>
      <c r="I14" s="34"/>
      <c r="J14" s="466"/>
      <c r="K14" s="366" t="s">
        <v>497</v>
      </c>
      <c r="L14" s="1002"/>
      <c r="M14" s="24"/>
      <c r="N14" s="22"/>
      <c r="O14" s="24"/>
      <c r="P14" s="24"/>
      <c r="Q14" s="24"/>
      <c r="R14" s="24"/>
      <c r="S14" s="24"/>
    </row>
    <row r="15" spans="1:138" s="23" customFormat="1" ht="15.75" x14ac:dyDescent="0.25">
      <c r="A15" s="24"/>
      <c r="B15" s="45"/>
      <c r="C15" s="24"/>
      <c r="D15" s="1569" t="s">
        <v>1235</v>
      </c>
      <c r="E15" s="1570"/>
      <c r="F15" s="1570"/>
      <c r="G15" s="1570"/>
      <c r="H15" s="1570"/>
      <c r="I15" s="1570"/>
      <c r="J15" s="1570"/>
      <c r="K15" s="56"/>
      <c r="L15" s="1003"/>
      <c r="M15" s="1201"/>
      <c r="N15" s="22"/>
      <c r="O15" s="24"/>
      <c r="P15" s="24"/>
      <c r="Q15" s="24"/>
      <c r="R15" s="24"/>
      <c r="S15" s="24"/>
    </row>
    <row r="16" spans="1:138" s="23" customFormat="1" ht="18" x14ac:dyDescent="0.3">
      <c r="A16" s="24"/>
      <c r="B16" s="45"/>
      <c r="C16" s="24"/>
      <c r="D16" s="589" t="s">
        <v>1298</v>
      </c>
      <c r="E16" s="927"/>
      <c r="F16" s="927"/>
      <c r="G16" s="927"/>
      <c r="H16" s="927"/>
      <c r="I16" s="927"/>
      <c r="J16" s="466"/>
      <c r="K16" s="366" t="s">
        <v>497</v>
      </c>
      <c r="L16" s="1002"/>
      <c r="M16" s="24"/>
      <c r="N16" s="22"/>
      <c r="O16" s="24"/>
      <c r="P16" s="24"/>
      <c r="Q16" s="24"/>
      <c r="R16" s="24"/>
      <c r="S16" s="24"/>
    </row>
    <row r="17" spans="1:25" s="23" customFormat="1" ht="18" x14ac:dyDescent="0.3">
      <c r="A17" s="24"/>
      <c r="B17" s="45"/>
      <c r="C17" s="24"/>
      <c r="D17" s="589" t="s">
        <v>1246</v>
      </c>
      <c r="E17" s="34"/>
      <c r="F17" s="34"/>
      <c r="G17" s="34"/>
      <c r="H17" s="34"/>
      <c r="I17" s="34"/>
      <c r="J17" s="1238"/>
      <c r="K17" s="366" t="s">
        <v>497</v>
      </c>
      <c r="L17" s="1002"/>
      <c r="M17" s="24"/>
      <c r="N17" s="22"/>
      <c r="O17" s="24"/>
      <c r="P17" s="24"/>
      <c r="Q17" s="24"/>
      <c r="R17" s="24"/>
      <c r="S17" s="24"/>
    </row>
    <row r="18" spans="1:25" s="23" customFormat="1" ht="15.75" x14ac:dyDescent="0.25">
      <c r="A18" s="24"/>
      <c r="B18" s="45"/>
      <c r="C18" s="24"/>
      <c r="D18" s="926" t="s">
        <v>1187</v>
      </c>
      <c r="E18" s="927"/>
      <c r="F18" s="927"/>
      <c r="G18" s="927"/>
      <c r="H18" s="927"/>
      <c r="I18" s="927"/>
      <c r="J18" s="1022"/>
      <c r="K18" s="366"/>
      <c r="L18" s="1003"/>
      <c r="M18" s="24"/>
      <c r="N18" s="22"/>
      <c r="O18" s="24"/>
      <c r="P18" s="24"/>
      <c r="Q18" s="24"/>
      <c r="R18" s="24"/>
      <c r="S18" s="24"/>
    </row>
    <row r="19" spans="1:25" s="23" customFormat="1" ht="18" x14ac:dyDescent="0.3">
      <c r="A19" s="24"/>
      <c r="B19" s="45"/>
      <c r="C19" s="24"/>
      <c r="D19" s="49" t="s">
        <v>1244</v>
      </c>
      <c r="E19" s="34"/>
      <c r="F19" s="34"/>
      <c r="G19" s="34"/>
      <c r="H19" s="34"/>
      <c r="I19" s="34"/>
      <c r="J19" s="1277"/>
      <c r="K19" s="56" t="s">
        <v>505</v>
      </c>
      <c r="L19" s="1017"/>
      <c r="M19" s="24"/>
      <c r="N19" s="22"/>
      <c r="O19" s="24"/>
      <c r="P19" s="24"/>
      <c r="Q19" s="24"/>
      <c r="R19" s="24"/>
      <c r="S19" s="24"/>
    </row>
    <row r="20" spans="1:25" s="23" customFormat="1" ht="17.25" thickBot="1" x14ac:dyDescent="0.35">
      <c r="A20" s="24"/>
      <c r="B20" s="45"/>
      <c r="C20" s="24"/>
      <c r="D20" s="1019" t="s">
        <v>1245</v>
      </c>
      <c r="E20" s="50"/>
      <c r="F20" s="50"/>
      <c r="G20" s="50"/>
      <c r="H20" s="50"/>
      <c r="I20" s="50"/>
      <c r="J20" s="1020"/>
      <c r="K20" s="1421" t="s">
        <v>13</v>
      </c>
      <c r="L20" s="1021"/>
      <c r="M20" s="24"/>
      <c r="N20" s="22"/>
      <c r="O20" s="24"/>
      <c r="P20" s="24"/>
      <c r="Q20" s="24"/>
      <c r="R20" s="24"/>
      <c r="S20" s="24"/>
    </row>
    <row r="21" spans="1:25" s="23" customFormat="1" ht="15.75" x14ac:dyDescent="0.25">
      <c r="B21" s="45"/>
      <c r="C21" s="24"/>
      <c r="M21" s="24"/>
      <c r="N21" s="22"/>
      <c r="O21" s="24"/>
      <c r="P21" s="24"/>
      <c r="Q21" s="24"/>
      <c r="R21" s="24"/>
      <c r="S21" s="24"/>
      <c r="Y21" s="24"/>
    </row>
    <row r="22" spans="1:25" s="23" customFormat="1" ht="15.75" x14ac:dyDescent="0.25">
      <c r="A22" s="24"/>
      <c r="B22" s="45"/>
      <c r="C22" s="24"/>
      <c r="D22" s="24"/>
      <c r="E22" s="24"/>
      <c r="F22" s="24"/>
      <c r="G22" s="24"/>
      <c r="H22" s="24"/>
      <c r="I22" s="24"/>
      <c r="J22" s="24"/>
      <c r="K22" s="24"/>
      <c r="L22" s="24"/>
      <c r="M22" s="24"/>
      <c r="N22" s="22"/>
      <c r="O22" s="24"/>
      <c r="P22" s="24"/>
      <c r="Q22" s="24"/>
      <c r="R22" s="24"/>
      <c r="S22" s="24"/>
      <c r="Y22" s="24"/>
    </row>
    <row r="23" spans="1:25" s="23" customFormat="1" ht="15.75" x14ac:dyDescent="0.25">
      <c r="A23" s="24"/>
      <c r="B23" s="1560" t="s">
        <v>498</v>
      </c>
      <c r="C23" s="1561"/>
      <c r="D23" s="1561"/>
      <c r="E23" s="1561"/>
      <c r="F23" s="1561"/>
      <c r="G23" s="1561"/>
      <c r="H23" s="1561"/>
      <c r="I23" s="1561"/>
      <c r="J23" s="1561"/>
      <c r="K23" s="1561"/>
      <c r="L23" s="1561"/>
      <c r="M23" s="1561"/>
      <c r="N23" s="1562"/>
      <c r="O23" s="24"/>
      <c r="P23" s="24"/>
      <c r="Q23" s="24"/>
      <c r="R23" s="24"/>
      <c r="S23" s="24"/>
      <c r="Y23" s="24"/>
    </row>
    <row r="24" spans="1:25" s="23" customFormat="1" ht="15.75" x14ac:dyDescent="0.25">
      <c r="B24" s="45"/>
      <c r="C24" s="24"/>
      <c r="D24" s="24"/>
      <c r="E24" s="24"/>
      <c r="F24" s="24"/>
      <c r="G24" s="24"/>
      <c r="H24" s="24"/>
      <c r="I24" s="24"/>
      <c r="J24" s="24"/>
      <c r="K24" s="24"/>
      <c r="L24" s="24"/>
      <c r="M24" s="24"/>
      <c r="N24" s="22"/>
      <c r="O24" s="24"/>
      <c r="P24" s="24"/>
      <c r="Q24" s="24"/>
      <c r="R24" s="24"/>
      <c r="S24" s="24"/>
      <c r="Y24" s="24"/>
    </row>
    <row r="25" spans="1:25" s="23" customFormat="1" ht="16.5" thickBot="1" x14ac:dyDescent="0.3">
      <c r="B25" s="45"/>
      <c r="C25" s="1573" t="s">
        <v>0</v>
      </c>
      <c r="D25" s="1573"/>
      <c r="E25" s="1573"/>
      <c r="F25" s="24"/>
      <c r="G25" s="1574" t="s">
        <v>1</v>
      </c>
      <c r="H25" s="1574"/>
      <c r="I25" s="1574"/>
      <c r="J25" s="24"/>
      <c r="K25" s="1573" t="s">
        <v>2</v>
      </c>
      <c r="L25" s="1573"/>
      <c r="M25" s="1573"/>
      <c r="N25" s="22"/>
      <c r="O25" s="24"/>
      <c r="P25" s="24"/>
      <c r="Q25" s="24"/>
      <c r="R25" s="24"/>
      <c r="S25" s="24"/>
      <c r="Y25" s="24"/>
    </row>
    <row r="26" spans="1:25" s="23" customFormat="1" ht="18" x14ac:dyDescent="0.25">
      <c r="A26" s="24"/>
      <c r="B26" s="45"/>
      <c r="C26" s="1239" t="s">
        <v>503</v>
      </c>
      <c r="D26" s="1240" t="str">
        <f>IFERROR(J11/J12,"")</f>
        <v/>
      </c>
      <c r="E26" s="1241" t="str">
        <f>IF($K$12="Selecione","",(VLOOKUP($K$12,Plan1!A6:B12,2,0)))</f>
        <v/>
      </c>
      <c r="F26" s="25"/>
      <c r="G26" s="457" t="s">
        <v>26</v>
      </c>
      <c r="H26" s="1276" t="str">
        <f>IF(J14="","",J14)</f>
        <v/>
      </c>
      <c r="I26" s="458" t="s">
        <v>1533</v>
      </c>
      <c r="J26" s="25"/>
      <c r="K26" s="39" t="s">
        <v>27</v>
      </c>
      <c r="L26" s="1274" t="str">
        <f>IF(J17="","",J17-J16)</f>
        <v/>
      </c>
      <c r="M26" s="43" t="s">
        <v>519</v>
      </c>
      <c r="N26" s="22"/>
      <c r="O26" s="24"/>
      <c r="P26" s="24"/>
      <c r="Q26" s="24"/>
      <c r="R26" s="24"/>
      <c r="S26" s="24"/>
      <c r="X26" s="24"/>
      <c r="Y26" s="24"/>
    </row>
    <row r="27" spans="1:25" s="23" customFormat="1" ht="16.5" thickBot="1" x14ac:dyDescent="0.3">
      <c r="A27" s="24"/>
      <c r="B27" s="45"/>
      <c r="C27" s="1242" t="s">
        <v>504</v>
      </c>
      <c r="D27" s="1243" t="str">
        <f>IFERROR(J11*J19+J20,"")</f>
        <v/>
      </c>
      <c r="E27" s="1244" t="s">
        <v>13</v>
      </c>
      <c r="F27" s="25"/>
      <c r="G27" s="459" t="s">
        <v>504</v>
      </c>
      <c r="H27" s="1245" t="str">
        <f>IFERROR(IF(J14="","",((H26*J19)+J20)),"")</f>
        <v/>
      </c>
      <c r="I27" s="833" t="s">
        <v>13</v>
      </c>
      <c r="J27" s="25"/>
      <c r="K27" s="40" t="s">
        <v>506</v>
      </c>
      <c r="L27" s="1275" t="str">
        <f>IFERROR(IF(J17="","",IF(J16&gt;J17,(L26*J19-J20),L26*J19+J20)),"")</f>
        <v/>
      </c>
      <c r="M27" s="44" t="s">
        <v>13</v>
      </c>
      <c r="N27" s="22"/>
      <c r="O27" s="24"/>
      <c r="P27" s="24"/>
      <c r="Q27" s="24"/>
      <c r="R27" s="24"/>
      <c r="S27" s="24"/>
      <c r="X27" s="24"/>
      <c r="Y27" s="24"/>
    </row>
    <row r="28" spans="1:25" s="23" customFormat="1" ht="15.75" x14ac:dyDescent="0.25">
      <c r="A28" s="24"/>
      <c r="B28" s="45"/>
      <c r="C28" s="1435"/>
      <c r="D28" s="1436"/>
      <c r="E28" s="1437"/>
      <c r="F28" s="25"/>
      <c r="G28" s="25"/>
      <c r="H28" s="1436"/>
      <c r="I28" s="1438"/>
      <c r="J28" s="25"/>
      <c r="K28" s="25"/>
      <c r="L28" s="1432"/>
      <c r="M28" s="27"/>
      <c r="N28" s="22"/>
      <c r="O28" s="24"/>
      <c r="P28" s="24"/>
      <c r="Q28" s="24"/>
      <c r="R28" s="24"/>
      <c r="S28" s="24"/>
      <c r="X28" s="24"/>
      <c r="Y28" s="24"/>
    </row>
    <row r="29" spans="1:25" s="23" customFormat="1" ht="15.75" x14ac:dyDescent="0.25">
      <c r="A29" s="24"/>
      <c r="B29" s="45"/>
      <c r="C29" s="1435"/>
      <c r="D29" s="1436"/>
      <c r="E29" s="1437"/>
      <c r="F29" s="25"/>
      <c r="G29" s="25"/>
      <c r="H29" s="1436"/>
      <c r="I29" s="1438"/>
      <c r="J29" s="25"/>
      <c r="K29" s="25"/>
      <c r="L29" s="1432"/>
      <c r="M29" s="27"/>
      <c r="N29" s="22"/>
      <c r="O29" s="24"/>
      <c r="P29" s="24"/>
      <c r="Q29" s="24"/>
      <c r="R29" s="24"/>
      <c r="S29" s="24"/>
      <c r="X29" s="24"/>
      <c r="Y29" s="24"/>
    </row>
    <row r="30" spans="1:25" s="23" customFormat="1" ht="15.75" x14ac:dyDescent="0.25">
      <c r="A30" s="24"/>
      <c r="B30" s="45"/>
      <c r="C30" s="1435"/>
      <c r="D30" s="1436"/>
      <c r="E30" s="1437"/>
      <c r="F30" s="25"/>
      <c r="G30" s="25"/>
      <c r="H30" s="1436"/>
      <c r="I30" s="1438"/>
      <c r="J30" s="25"/>
      <c r="K30" s="25"/>
      <c r="L30" s="1432"/>
      <c r="M30" s="27"/>
      <c r="N30" s="22"/>
      <c r="O30" s="24"/>
      <c r="P30" s="24"/>
      <c r="Q30" s="24"/>
      <c r="R30" s="24"/>
      <c r="S30" s="24"/>
      <c r="X30" s="24"/>
      <c r="Y30" s="24"/>
    </row>
    <row r="31" spans="1:25" s="23" customFormat="1" ht="15.75" x14ac:dyDescent="0.25">
      <c r="A31" s="24"/>
      <c r="B31" s="1583" t="s">
        <v>1589</v>
      </c>
      <c r="C31" s="1584"/>
      <c r="D31" s="1584"/>
      <c r="E31" s="1584"/>
      <c r="F31" s="1584"/>
      <c r="G31" s="1584"/>
      <c r="H31" s="1584"/>
      <c r="I31" s="1584"/>
      <c r="J31" s="1584"/>
      <c r="K31" s="1584"/>
      <c r="L31" s="1584"/>
      <c r="M31" s="1584"/>
      <c r="N31" s="1585"/>
      <c r="O31" s="24"/>
      <c r="P31" s="24"/>
      <c r="Q31" s="24"/>
      <c r="R31" s="24"/>
      <c r="S31" s="24"/>
      <c r="X31" s="24"/>
      <c r="Y31" s="24"/>
    </row>
    <row r="32" spans="1:25" s="23" customFormat="1" ht="15.75" x14ac:dyDescent="0.25">
      <c r="A32" s="24"/>
      <c r="B32" s="1493"/>
      <c r="C32" s="1491"/>
      <c r="D32" s="1488"/>
      <c r="E32" s="1488"/>
      <c r="F32" s="1488"/>
      <c r="G32" s="1488"/>
      <c r="H32" s="1488"/>
      <c r="I32" s="1488"/>
      <c r="J32" s="1488"/>
      <c r="K32" s="1489"/>
      <c r="L32" s="1490"/>
      <c r="M32" s="1491"/>
      <c r="N32" s="1492"/>
      <c r="O32" s="24"/>
      <c r="P32" s="24"/>
      <c r="Q32" s="24"/>
      <c r="R32" s="24"/>
      <c r="S32" s="24"/>
      <c r="X32" s="24"/>
      <c r="Y32" s="24"/>
    </row>
    <row r="33" spans="1:25" s="23" customFormat="1" ht="16.5" thickBot="1" x14ac:dyDescent="0.3">
      <c r="A33" s="24"/>
      <c r="B33" s="45"/>
      <c r="C33" s="24"/>
      <c r="D33" s="24"/>
      <c r="E33" s="13" t="s">
        <v>1297</v>
      </c>
      <c r="F33" s="577"/>
      <c r="G33" s="577"/>
      <c r="H33" s="577"/>
      <c r="I33" s="237"/>
      <c r="J33" s="237"/>
      <c r="K33" s="237"/>
      <c r="L33" s="237"/>
      <c r="M33" s="465"/>
      <c r="N33" s="22"/>
      <c r="O33" s="24"/>
      <c r="P33" s="24"/>
      <c r="Q33" s="24"/>
      <c r="R33" s="24"/>
      <c r="S33" s="24"/>
      <c r="X33" s="24"/>
      <c r="Y33" s="24"/>
    </row>
    <row r="34" spans="1:25" s="23" customFormat="1" ht="15.75" x14ac:dyDescent="0.25">
      <c r="A34" s="24"/>
      <c r="B34" s="45"/>
      <c r="C34" s="24"/>
      <c r="D34" s="24"/>
      <c r="E34" s="1575" t="s">
        <v>1388</v>
      </c>
      <c r="F34" s="1576"/>
      <c r="G34" s="1579" t="s">
        <v>0</v>
      </c>
      <c r="H34" s="1579"/>
      <c r="I34" s="1580" t="s">
        <v>1</v>
      </c>
      <c r="J34" s="1580"/>
      <c r="K34" s="1581" t="s">
        <v>2</v>
      </c>
      <c r="L34" s="1582"/>
      <c r="M34" s="465"/>
      <c r="N34" s="22"/>
      <c r="O34" s="24"/>
      <c r="P34" s="24"/>
      <c r="Q34" s="24"/>
      <c r="R34" s="24"/>
      <c r="S34" s="24"/>
      <c r="X34" s="24"/>
      <c r="Y34" s="24"/>
    </row>
    <row r="35" spans="1:25" s="23" customFormat="1" ht="15.75" x14ac:dyDescent="0.25">
      <c r="A35" s="24"/>
      <c r="B35" s="45"/>
      <c r="C35" s="24"/>
      <c r="D35" s="24"/>
      <c r="E35" s="1577"/>
      <c r="F35" s="1578"/>
      <c r="G35" s="841" t="s">
        <v>503</v>
      </c>
      <c r="H35" s="842" t="s">
        <v>1337</v>
      </c>
      <c r="I35" s="843" t="s">
        <v>26</v>
      </c>
      <c r="J35" s="843" t="s">
        <v>1337</v>
      </c>
      <c r="K35" s="844" t="s">
        <v>27</v>
      </c>
      <c r="L35" s="845" t="s">
        <v>1337</v>
      </c>
      <c r="M35" s="465"/>
      <c r="N35" s="22"/>
      <c r="O35" s="24"/>
      <c r="P35" s="24"/>
      <c r="Q35" s="24"/>
      <c r="R35" s="24"/>
      <c r="S35" s="24"/>
      <c r="X35" s="24"/>
      <c r="Y35" s="24"/>
    </row>
    <row r="36" spans="1:25" s="23" customFormat="1" ht="15.75" x14ac:dyDescent="0.25">
      <c r="A36" s="24"/>
      <c r="B36" s="45"/>
      <c r="C36" s="24"/>
      <c r="D36" s="24"/>
      <c r="E36" s="1586"/>
      <c r="F36" s="1587"/>
      <c r="G36" s="1004"/>
      <c r="H36" s="1004"/>
      <c r="I36" s="1005"/>
      <c r="J36" s="1005"/>
      <c r="K36" s="1006"/>
      <c r="L36" s="1007"/>
      <c r="M36" s="465"/>
      <c r="N36" s="22"/>
      <c r="O36" s="24"/>
      <c r="P36" s="24"/>
      <c r="Q36" s="24"/>
      <c r="R36" s="24"/>
      <c r="S36" s="24"/>
      <c r="X36" s="24"/>
      <c r="Y36" s="24"/>
    </row>
    <row r="37" spans="1:25" s="23" customFormat="1" ht="15.75" x14ac:dyDescent="0.25">
      <c r="A37" s="24"/>
      <c r="B37" s="45"/>
      <c r="C37" s="24"/>
      <c r="D37" s="24"/>
      <c r="E37" s="1586"/>
      <c r="F37" s="1587"/>
      <c r="G37" s="1004"/>
      <c r="H37" s="1004"/>
      <c r="I37" s="1005"/>
      <c r="J37" s="1005"/>
      <c r="K37" s="1006"/>
      <c r="L37" s="1007"/>
      <c r="M37" s="465"/>
      <c r="N37" s="22"/>
      <c r="O37" s="24"/>
      <c r="P37" s="24"/>
      <c r="Q37" s="24"/>
      <c r="R37" s="24"/>
      <c r="S37" s="24"/>
      <c r="X37" s="24"/>
      <c r="Y37" s="24"/>
    </row>
    <row r="38" spans="1:25" s="23" customFormat="1" ht="15.75" x14ac:dyDescent="0.25">
      <c r="B38" s="588"/>
      <c r="C38" s="24"/>
      <c r="D38" s="24"/>
      <c r="E38" s="1586"/>
      <c r="F38" s="1587"/>
      <c r="G38" s="1004"/>
      <c r="H38" s="1004"/>
      <c r="I38" s="1004"/>
      <c r="J38" s="1006"/>
      <c r="K38" s="1006"/>
      <c r="L38" s="1007"/>
      <c r="M38" s="465"/>
      <c r="N38" s="28"/>
      <c r="O38" s="24"/>
      <c r="P38" s="24"/>
      <c r="Q38" s="24"/>
      <c r="R38" s="24"/>
      <c r="S38" s="24"/>
      <c r="X38" s="24"/>
      <c r="Y38" s="24"/>
    </row>
    <row r="39" spans="1:25" s="23" customFormat="1" ht="15.75" x14ac:dyDescent="0.25">
      <c r="B39" s="45"/>
      <c r="C39" s="24"/>
      <c r="D39" s="24"/>
      <c r="E39" s="1586"/>
      <c r="F39" s="1587"/>
      <c r="G39" s="1004"/>
      <c r="H39" s="1004"/>
      <c r="I39" s="1004"/>
      <c r="J39" s="1006"/>
      <c r="K39" s="1006"/>
      <c r="L39" s="1007"/>
      <c r="M39" s="465"/>
      <c r="N39" s="22"/>
      <c r="O39" s="24"/>
      <c r="P39" s="24"/>
      <c r="Q39" s="24"/>
      <c r="R39" s="24"/>
      <c r="S39" s="24"/>
      <c r="X39" s="24"/>
      <c r="Y39" s="24"/>
    </row>
    <row r="40" spans="1:25" s="23" customFormat="1" ht="15.75" x14ac:dyDescent="0.25">
      <c r="B40" s="45"/>
      <c r="C40" s="24"/>
      <c r="D40" s="24"/>
      <c r="E40" s="1586"/>
      <c r="F40" s="1587"/>
      <c r="G40" s="1004"/>
      <c r="H40" s="1004"/>
      <c r="I40" s="1006"/>
      <c r="J40" s="1006"/>
      <c r="K40" s="1006"/>
      <c r="L40" s="1007"/>
      <c r="M40" s="465"/>
      <c r="N40" s="22"/>
      <c r="O40" s="24"/>
      <c r="P40" s="24"/>
      <c r="Q40" s="24"/>
      <c r="R40" s="24"/>
      <c r="S40" s="24"/>
      <c r="Y40" s="24"/>
    </row>
    <row r="41" spans="1:25" s="23" customFormat="1" ht="15.75" x14ac:dyDescent="0.25">
      <c r="B41" s="45"/>
      <c r="C41" s="24"/>
      <c r="D41" s="24"/>
      <c r="E41" s="1586"/>
      <c r="F41" s="1587"/>
      <c r="G41" s="1004"/>
      <c r="H41" s="1004"/>
      <c r="I41" s="1006"/>
      <c r="J41" s="1006"/>
      <c r="K41" s="1005"/>
      <c r="L41" s="1007"/>
      <c r="M41" s="465"/>
      <c r="N41" s="28"/>
      <c r="O41" s="27"/>
      <c r="P41" s="27"/>
      <c r="Q41" s="27"/>
      <c r="R41" s="27"/>
      <c r="S41" s="27"/>
      <c r="Y41" s="24"/>
    </row>
    <row r="42" spans="1:25" s="23" customFormat="1" ht="15.75" x14ac:dyDescent="0.25">
      <c r="B42" s="45"/>
      <c r="C42" s="24"/>
      <c r="D42" s="24"/>
      <c r="E42" s="1586"/>
      <c r="F42" s="1587"/>
      <c r="G42" s="1004"/>
      <c r="H42" s="1004"/>
      <c r="I42" s="1006"/>
      <c r="J42" s="1006"/>
      <c r="K42" s="1005"/>
      <c r="L42" s="1007"/>
      <c r="M42" s="243"/>
      <c r="N42" s="28"/>
      <c r="O42" s="27"/>
      <c r="P42" s="27"/>
      <c r="Q42" s="27"/>
      <c r="R42" s="27"/>
      <c r="S42" s="27"/>
      <c r="Y42" s="24"/>
    </row>
    <row r="43" spans="1:25" s="23" customFormat="1" ht="15.75" x14ac:dyDescent="0.25">
      <c r="B43" s="45"/>
      <c r="C43" s="24"/>
      <c r="D43" s="24"/>
      <c r="E43" s="1586"/>
      <c r="F43" s="1587"/>
      <c r="G43" s="1004"/>
      <c r="H43" s="1004"/>
      <c r="I43" s="1006"/>
      <c r="J43" s="1006"/>
      <c r="K43" s="1005"/>
      <c r="L43" s="1007"/>
      <c r="M43" s="237"/>
      <c r="N43" s="28"/>
      <c r="O43" s="27"/>
      <c r="P43" s="27"/>
      <c r="Q43" s="27"/>
      <c r="R43" s="27"/>
      <c r="S43" s="27"/>
      <c r="Y43" s="24"/>
    </row>
    <row r="44" spans="1:25" s="23" customFormat="1" ht="15.75" x14ac:dyDescent="0.25">
      <c r="B44" s="45"/>
      <c r="C44" s="24"/>
      <c r="D44" s="24"/>
      <c r="E44" s="1586"/>
      <c r="F44" s="1587"/>
      <c r="G44" s="1004"/>
      <c r="H44" s="1004"/>
      <c r="I44" s="1006"/>
      <c r="J44" s="1006"/>
      <c r="K44" s="1005"/>
      <c r="L44" s="1007"/>
      <c r="M44" s="237"/>
      <c r="N44" s="22"/>
      <c r="Y44" s="24"/>
    </row>
    <row r="45" spans="1:25" s="23" customFormat="1" ht="16.5" thickBot="1" x14ac:dyDescent="0.3">
      <c r="B45" s="45"/>
      <c r="C45" s="24"/>
      <c r="D45" s="24"/>
      <c r="E45" s="1588"/>
      <c r="F45" s="1589"/>
      <c r="G45" s="1008"/>
      <c r="H45" s="1008"/>
      <c r="I45" s="1009"/>
      <c r="J45" s="1009"/>
      <c r="K45" s="1010"/>
      <c r="L45" s="1011"/>
      <c r="M45" s="237"/>
      <c r="N45" s="22"/>
      <c r="Y45" s="24"/>
    </row>
    <row r="46" spans="1:25" s="19" customFormat="1" ht="15.75" thickBot="1" x14ac:dyDescent="0.3">
      <c r="A46" s="6"/>
      <c r="B46" s="281"/>
      <c r="C46" s="402"/>
      <c r="D46" s="107"/>
      <c r="E46" s="107"/>
      <c r="F46" s="107"/>
      <c r="G46" s="107"/>
      <c r="H46" s="107"/>
      <c r="I46" s="107"/>
      <c r="J46" s="107"/>
      <c r="K46" s="107"/>
      <c r="L46" s="107"/>
      <c r="M46" s="107"/>
      <c r="N46" s="109"/>
    </row>
    <row r="47" spans="1:25" s="19" customFormat="1" ht="15.75" thickTop="1" x14ac:dyDescent="0.25">
      <c r="A47" s="6"/>
      <c r="B47" s="6"/>
      <c r="C47" s="2"/>
      <c r="D47" s="6"/>
      <c r="E47" s="6"/>
      <c r="F47" s="6"/>
      <c r="G47" s="6"/>
      <c r="H47" s="6"/>
      <c r="I47" s="6"/>
      <c r="J47" s="6"/>
      <c r="K47" s="6"/>
      <c r="L47" s="6"/>
      <c r="M47" s="6"/>
      <c r="N47" s="6"/>
    </row>
    <row r="48" spans="1:25" hidden="1" x14ac:dyDescent="0.25"/>
    <row r="49" hidden="1" x14ac:dyDescent="0.25"/>
    <row r="50" hidden="1" x14ac:dyDescent="0.25"/>
    <row r="51" hidden="1" x14ac:dyDescent="0.25"/>
    <row r="52" hidden="1" x14ac:dyDescent="0.25"/>
    <row r="53" hidden="1" x14ac:dyDescent="0.25"/>
    <row r="54" hidden="1" x14ac:dyDescent="0.25"/>
    <row r="55" hidden="1" x14ac:dyDescent="0.25"/>
    <row r="56" hidden="1" x14ac:dyDescent="0.25"/>
    <row r="57" hidden="1" x14ac:dyDescent="0.25"/>
    <row r="58" hidden="1" x14ac:dyDescent="0.25"/>
    <row r="59" hidden="1" x14ac:dyDescent="0.25"/>
    <row r="60" s="23" customFormat="1" ht="15.75" hidden="1" x14ac:dyDescent="0.25"/>
    <row r="61" s="23" customFormat="1" ht="15.75" hidden="1" x14ac:dyDescent="0.25"/>
    <row r="62" s="23" customFormat="1" ht="15.75" hidden="1" x14ac:dyDescent="0.25"/>
    <row r="63" s="23" customFormat="1" ht="15.75" hidden="1" x14ac:dyDescent="0.25"/>
    <row r="64" s="23" customFormat="1" ht="15.75" hidden="1" x14ac:dyDescent="0.25"/>
    <row r="65" s="23" customFormat="1" ht="15.75" hidden="1" x14ac:dyDescent="0.25"/>
    <row r="66" s="23" customFormat="1" ht="15.75" hidden="1" x14ac:dyDescent="0.25"/>
    <row r="67" s="23" customFormat="1" ht="15.75" hidden="1" x14ac:dyDescent="0.25"/>
    <row r="68" s="23" customFormat="1" ht="15.75" hidden="1" x14ac:dyDescent="0.25"/>
    <row r="69" s="23" customFormat="1" ht="15.75" hidden="1" x14ac:dyDescent="0.25"/>
    <row r="70" s="23" customFormat="1" ht="15.75" hidden="1" x14ac:dyDescent="0.25"/>
    <row r="71" s="23" customFormat="1" ht="15.75" hidden="1" x14ac:dyDescent="0.25"/>
    <row r="72" s="23" customFormat="1" ht="15.75" hidden="1" x14ac:dyDescent="0.25"/>
    <row r="73" s="23" customFormat="1" ht="15.75" hidden="1" x14ac:dyDescent="0.25"/>
    <row r="74" s="23" customFormat="1" ht="15.75" hidden="1" x14ac:dyDescent="0.25"/>
    <row r="75" s="23" customFormat="1" ht="15.75" hidden="1" x14ac:dyDescent="0.25"/>
    <row r="76" s="23" customFormat="1" ht="15.75" hidden="1" x14ac:dyDescent="0.25"/>
    <row r="77" s="23" customFormat="1" ht="15.75" hidden="1" x14ac:dyDescent="0.25"/>
    <row r="78" s="23" customFormat="1" ht="15.75" hidden="1" x14ac:dyDescent="0.25"/>
    <row r="79" s="23" customFormat="1" ht="15.75" hidden="1" x14ac:dyDescent="0.25"/>
    <row r="80" s="23" customFormat="1" ht="15.75" hidden="1" x14ac:dyDescent="0.25"/>
    <row r="81" s="23" customFormat="1" ht="15.75" hidden="1" x14ac:dyDescent="0.25"/>
    <row r="82" s="23" customFormat="1" ht="15.75" hidden="1" x14ac:dyDescent="0.25"/>
    <row r="83" s="23" customFormat="1" ht="15.75" hidden="1" x14ac:dyDescent="0.25"/>
    <row r="84" s="23" customFormat="1" ht="15.75" hidden="1" x14ac:dyDescent="0.25"/>
    <row r="85" s="23" customFormat="1" ht="15.75" hidden="1" x14ac:dyDescent="0.25"/>
    <row r="86" s="23" customFormat="1" ht="15.75" hidden="1" x14ac:dyDescent="0.25"/>
    <row r="87" s="23" customFormat="1" ht="15.75" hidden="1" x14ac:dyDescent="0.25"/>
    <row r="88" s="23" customFormat="1" ht="15.75"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sheetData>
  <mergeCells count="26">
    <mergeCell ref="E44:F44"/>
    <mergeCell ref="E45:F45"/>
    <mergeCell ref="E41:F41"/>
    <mergeCell ref="E42:F42"/>
    <mergeCell ref="E43:F43"/>
    <mergeCell ref="E39:F39"/>
    <mergeCell ref="E40:F40"/>
    <mergeCell ref="E36:F36"/>
    <mergeCell ref="E38:F38"/>
    <mergeCell ref="E37:F37"/>
    <mergeCell ref="C25:E25"/>
    <mergeCell ref="G25:I25"/>
    <mergeCell ref="E34:F35"/>
    <mergeCell ref="K25:M25"/>
    <mergeCell ref="G34:H34"/>
    <mergeCell ref="I34:J34"/>
    <mergeCell ref="K34:L34"/>
    <mergeCell ref="B31:N31"/>
    <mergeCell ref="B23:N23"/>
    <mergeCell ref="B1:N1"/>
    <mergeCell ref="B5:N5"/>
    <mergeCell ref="D8:J8"/>
    <mergeCell ref="D15:J15"/>
    <mergeCell ref="D13:J13"/>
    <mergeCell ref="C3:L3"/>
    <mergeCell ref="C2:I2"/>
  </mergeCells>
  <dataValidations count="3">
    <dataValidation type="list" allowBlank="1" showInputMessage="1" showErrorMessage="1" sqref="K12">
      <formula1>Unidade</formula1>
    </dataValidation>
    <dataValidation allowBlank="1" showErrorMessage="1" prompt="Inserir unidade" sqref="L32 K14 K9:K11 K16"/>
    <dataValidation type="custom" allowBlank="1" showInputMessage="1" showErrorMessage="1" sqref="J9">
      <formula1>AND(empresa&lt;&gt;0,empresa=0)=FALSE</formula1>
    </dataValidation>
  </dataValidations>
  <pageMargins left="0.511811024" right="0.511811024" top="0.78740157499999996" bottom="0.78740157499999996" header="0.31496062000000002" footer="0.31496062000000002"/>
  <pageSetup paperSize="9" orientation="portrait" r:id="rId1"/>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A039"/>
  </sheetPr>
  <dimension ref="A1:EO4733"/>
  <sheetViews>
    <sheetView showGridLines="0" zoomScaleNormal="100" workbookViewId="0">
      <pane ySplit="1" topLeftCell="A2" activePane="bottomLeft" state="frozen"/>
      <selection pane="bottomLeft" activeCell="A2" sqref="A2"/>
    </sheetView>
  </sheetViews>
  <sheetFormatPr defaultColWidth="0" defaultRowHeight="15" zeroHeight="1" x14ac:dyDescent="0.25"/>
  <cols>
    <col min="1" max="1" width="2.85546875" style="2" customWidth="1"/>
    <col min="2" max="2" width="3.42578125" style="6" customWidth="1"/>
    <col min="3" max="3" width="10.85546875" style="6" customWidth="1"/>
    <col min="4" max="6" width="14.7109375" style="6" customWidth="1"/>
    <col min="7" max="7" width="14.28515625" style="6" customWidth="1"/>
    <col min="8" max="8" width="16" style="6" customWidth="1"/>
    <col min="9" max="9" width="13.85546875" style="6" customWidth="1"/>
    <col min="10" max="10" width="17.140625" style="6" customWidth="1"/>
    <col min="11" max="11" width="14.7109375" style="6" customWidth="1"/>
    <col min="12" max="12" width="26" style="6" customWidth="1"/>
    <col min="13" max="13" width="11" style="6" bestFit="1" customWidth="1"/>
    <col min="14" max="14" width="8.28515625" style="6" customWidth="1"/>
    <col min="15" max="15" width="3.140625" style="6" customWidth="1"/>
    <col min="16" max="16" width="23.140625" style="6" customWidth="1"/>
    <col min="17" max="17" width="20.85546875" style="6" hidden="1" customWidth="1"/>
    <col min="18" max="18" width="8.85546875" style="6" hidden="1" customWidth="1"/>
    <col min="19" max="19" width="4.140625" style="6" hidden="1" customWidth="1"/>
    <col min="20" max="20" width="5.42578125" style="6" hidden="1" customWidth="1"/>
    <col min="21" max="21" width="7" style="2" hidden="1" customWidth="1"/>
    <col min="22" max="30" width="0" style="2" hidden="1" customWidth="1"/>
    <col min="31" max="145" width="0" style="6" hidden="1" customWidth="1"/>
    <col min="146" max="16384" width="8.85546875" style="6" hidden="1"/>
  </cols>
  <sheetData>
    <row r="1" spans="1:145" s="20" customFormat="1" ht="18.75" x14ac:dyDescent="0.3">
      <c r="A1" s="47"/>
      <c r="B1" s="1596" t="s">
        <v>1306</v>
      </c>
      <c r="C1" s="1597"/>
      <c r="D1" s="1597"/>
      <c r="E1" s="1597"/>
      <c r="F1" s="1597"/>
      <c r="G1" s="1597"/>
      <c r="H1" s="1597"/>
      <c r="I1" s="1597"/>
      <c r="J1" s="1597"/>
      <c r="K1" s="1597"/>
      <c r="L1" s="1597"/>
      <c r="M1" s="1597"/>
      <c r="N1" s="1597"/>
      <c r="O1" s="455"/>
      <c r="P1" s="46"/>
      <c r="Q1" s="46"/>
      <c r="R1" s="46"/>
      <c r="S1" s="47"/>
      <c r="T1" s="47"/>
      <c r="U1" s="47"/>
      <c r="V1" s="47"/>
      <c r="W1" s="47"/>
      <c r="X1" s="47"/>
      <c r="Y1" s="47"/>
      <c r="Z1" s="47"/>
      <c r="AA1" s="47"/>
      <c r="AB1" s="47"/>
      <c r="AC1" s="48"/>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c r="CP1" s="47"/>
      <c r="CQ1" s="47"/>
      <c r="CR1" s="47"/>
      <c r="CS1" s="47"/>
      <c r="CT1" s="47"/>
      <c r="CU1" s="47"/>
      <c r="CV1" s="47"/>
      <c r="CW1" s="47"/>
      <c r="CX1" s="47"/>
      <c r="CY1" s="47"/>
      <c r="CZ1" s="47"/>
      <c r="DA1" s="47"/>
      <c r="DB1" s="47"/>
      <c r="DC1" s="47"/>
      <c r="DD1" s="47"/>
      <c r="DE1" s="47"/>
      <c r="DF1" s="47"/>
      <c r="DG1" s="47"/>
      <c r="DH1" s="47"/>
      <c r="DI1" s="47"/>
      <c r="DJ1" s="47"/>
      <c r="DK1" s="47"/>
      <c r="DL1" s="47"/>
      <c r="DM1" s="47"/>
      <c r="DN1" s="47"/>
      <c r="DO1" s="47"/>
      <c r="DP1" s="47"/>
      <c r="DQ1" s="47"/>
      <c r="DR1" s="47"/>
      <c r="DS1" s="47"/>
      <c r="DT1" s="47"/>
      <c r="DU1" s="47"/>
      <c r="DV1" s="47"/>
      <c r="DW1" s="47"/>
      <c r="DX1" s="47"/>
      <c r="DY1" s="47"/>
      <c r="DZ1" s="47"/>
      <c r="EA1" s="47"/>
      <c r="EB1" s="47"/>
      <c r="EC1" s="47"/>
      <c r="ED1" s="47"/>
      <c r="EE1" s="47"/>
      <c r="EF1" s="47"/>
      <c r="EG1" s="47"/>
      <c r="EH1" s="47"/>
      <c r="EI1" s="47"/>
      <c r="EJ1" s="47"/>
      <c r="EK1" s="47"/>
      <c r="EL1" s="47"/>
      <c r="EM1" s="47"/>
      <c r="EN1" s="47"/>
      <c r="EO1" s="47"/>
    </row>
    <row r="2" spans="1:145" s="205" customFormat="1" ht="18.75" x14ac:dyDescent="0.3">
      <c r="B2" s="229"/>
      <c r="C2" s="239" t="s">
        <v>1259</v>
      </c>
      <c r="D2" s="230"/>
      <c r="E2" s="230"/>
      <c r="F2" s="230"/>
      <c r="G2" s="230"/>
      <c r="H2" s="230"/>
      <c r="I2" s="230"/>
      <c r="J2" s="230"/>
      <c r="K2" s="262"/>
      <c r="L2" s="263"/>
      <c r="M2" s="263"/>
      <c r="N2" s="264"/>
    </row>
    <row r="3" spans="1:145" s="205" customFormat="1" ht="47.25" customHeight="1" x14ac:dyDescent="0.25">
      <c r="B3" s="229"/>
      <c r="C3" s="1608" t="s">
        <v>1590</v>
      </c>
      <c r="D3" s="1608"/>
      <c r="E3" s="1608"/>
      <c r="F3" s="1608"/>
      <c r="G3" s="1608"/>
      <c r="H3" s="1608"/>
      <c r="I3" s="1608"/>
      <c r="J3" s="1608"/>
      <c r="K3" s="1608"/>
      <c r="L3" s="659"/>
      <c r="M3" s="263"/>
      <c r="N3" s="264"/>
    </row>
    <row r="4" spans="1:145" s="205" customFormat="1" ht="15" customHeight="1" x14ac:dyDescent="0.3">
      <c r="B4" s="229"/>
      <c r="C4" s="237"/>
      <c r="D4" s="230"/>
      <c r="E4" s="230"/>
      <c r="F4" s="230"/>
      <c r="G4" s="230"/>
      <c r="H4" s="230"/>
      <c r="I4" s="230"/>
      <c r="J4" s="230"/>
      <c r="K4" s="262"/>
      <c r="L4" s="263"/>
      <c r="M4" s="263"/>
      <c r="N4" s="264"/>
    </row>
    <row r="5" spans="1:145" s="23" customFormat="1" ht="15.75" x14ac:dyDescent="0.25">
      <c r="B5" s="1566" t="s">
        <v>495</v>
      </c>
      <c r="C5" s="1567"/>
      <c r="D5" s="1567"/>
      <c r="E5" s="1567"/>
      <c r="F5" s="1567"/>
      <c r="G5" s="1567"/>
      <c r="H5" s="1567"/>
      <c r="I5" s="1567"/>
      <c r="J5" s="1567"/>
      <c r="K5" s="1567"/>
      <c r="L5" s="1567"/>
      <c r="M5" s="1567"/>
      <c r="N5" s="1568"/>
      <c r="O5" s="24"/>
      <c r="P5" s="24"/>
      <c r="Q5" s="24"/>
      <c r="R5" s="24"/>
      <c r="S5" s="24"/>
      <c r="T5" s="24"/>
      <c r="U5" s="24"/>
      <c r="V5" s="24"/>
      <c r="W5" s="24"/>
      <c r="X5" s="24"/>
    </row>
    <row r="6" spans="1:145" s="205" customFormat="1" ht="15.75" thickBot="1" x14ac:dyDescent="0.3">
      <c r="B6" s="229"/>
      <c r="C6" s="230"/>
      <c r="D6" s="1450"/>
      <c r="E6" s="1450"/>
      <c r="F6" s="1450"/>
      <c r="G6" s="1450"/>
      <c r="H6" s="1450"/>
      <c r="I6" s="1450"/>
      <c r="J6" s="1450"/>
      <c r="K6" s="230"/>
      <c r="L6" s="230"/>
      <c r="M6" s="230"/>
      <c r="N6" s="228"/>
      <c r="O6" s="230"/>
      <c r="P6" s="230"/>
      <c r="Q6" s="230"/>
      <c r="R6" s="230"/>
      <c r="S6" s="230"/>
      <c r="T6" s="230"/>
      <c r="U6" s="230"/>
      <c r="V6" s="230"/>
      <c r="W6" s="230"/>
      <c r="X6" s="230"/>
    </row>
    <row r="7" spans="1:145" s="205" customFormat="1" x14ac:dyDescent="0.25">
      <c r="B7" s="229"/>
      <c r="C7" s="230"/>
      <c r="D7" s="111" t="s">
        <v>534</v>
      </c>
      <c r="E7" s="112"/>
      <c r="F7" s="112"/>
      <c r="G7" s="112"/>
      <c r="H7" s="112"/>
      <c r="I7" s="112"/>
      <c r="J7" s="1408" t="s">
        <v>504</v>
      </c>
      <c r="K7" s="1408" t="s">
        <v>30</v>
      </c>
      <c r="L7" s="1431" t="s">
        <v>536</v>
      </c>
      <c r="M7" s="230"/>
      <c r="N7" s="228"/>
      <c r="O7" s="230"/>
      <c r="P7" s="230"/>
      <c r="Q7" s="230"/>
      <c r="R7" s="230"/>
      <c r="S7" s="230"/>
      <c r="T7" s="230"/>
      <c r="U7" s="230"/>
      <c r="V7" s="230"/>
      <c r="W7" s="230"/>
      <c r="X7" s="230"/>
    </row>
    <row r="8" spans="1:145" s="235" customFormat="1" x14ac:dyDescent="0.25">
      <c r="B8" s="236"/>
      <c r="C8" s="237"/>
      <c r="D8" s="481" t="s">
        <v>1236</v>
      </c>
      <c r="E8" s="239"/>
      <c r="F8" s="237"/>
      <c r="G8" s="254"/>
      <c r="H8" s="239"/>
      <c r="I8" s="239"/>
      <c r="J8" s="1102" t="s">
        <v>12</v>
      </c>
      <c r="K8" s="1422"/>
      <c r="L8" s="1027" t="str">
        <f>IF(J8="Outros","Preencha o campo abaixo","-")</f>
        <v>-</v>
      </c>
      <c r="M8" s="237"/>
      <c r="N8" s="238"/>
      <c r="O8" s="237"/>
      <c r="P8" s="237"/>
      <c r="Q8" s="237"/>
      <c r="R8" s="237"/>
      <c r="S8" s="237"/>
      <c r="T8" s="237"/>
      <c r="U8" s="237"/>
      <c r="V8" s="237"/>
      <c r="W8" s="237"/>
      <c r="X8" s="237"/>
    </row>
    <row r="9" spans="1:145" s="235" customFormat="1" ht="15" customHeight="1" x14ac:dyDescent="0.25">
      <c r="B9" s="236"/>
      <c r="C9" s="237"/>
      <c r="D9" s="1604" t="s">
        <v>1417</v>
      </c>
      <c r="E9" s="1605"/>
      <c r="F9" s="1605"/>
      <c r="G9" s="1605"/>
      <c r="H9" s="1605"/>
      <c r="I9" s="1605"/>
      <c r="J9" s="1036"/>
      <c r="K9" s="1384"/>
      <c r="L9" s="1025" t="str">
        <f>IF(J9&lt;&gt;"","Preencha o Pcb","-")</f>
        <v>-</v>
      </c>
      <c r="M9" s="253"/>
      <c r="N9" s="238"/>
      <c r="O9" s="237"/>
      <c r="P9" s="237"/>
      <c r="Q9" s="237"/>
      <c r="R9" s="237"/>
      <c r="S9" s="237"/>
      <c r="T9" s="237"/>
      <c r="U9" s="237"/>
      <c r="V9" s="237"/>
      <c r="W9" s="237"/>
      <c r="X9" s="237"/>
    </row>
    <row r="10" spans="1:145" s="235" customFormat="1" ht="15" customHeight="1" x14ac:dyDescent="0.25">
      <c r="B10" s="236"/>
      <c r="C10" s="237"/>
      <c r="D10" s="745" t="s">
        <v>1447</v>
      </c>
      <c r="E10" s="657"/>
      <c r="F10" s="657"/>
      <c r="G10" s="657"/>
      <c r="H10" s="657"/>
      <c r="I10" s="657"/>
      <c r="J10" s="1033"/>
      <c r="K10" s="1423" t="s">
        <v>1465</v>
      </c>
      <c r="L10" s="846" t="str">
        <f>IF(J9="","Se não souber, deixe em branco.","Preencha este campo")</f>
        <v>Se não souber, deixe em branco.</v>
      </c>
      <c r="M10" s="237"/>
      <c r="N10" s="238"/>
      <c r="O10" s="237"/>
      <c r="P10" s="237"/>
      <c r="Q10" s="237"/>
      <c r="R10" s="237"/>
      <c r="S10" s="237"/>
      <c r="T10" s="237"/>
      <c r="U10" s="237"/>
      <c r="V10" s="237"/>
      <c r="W10" s="237"/>
      <c r="X10" s="237"/>
    </row>
    <row r="11" spans="1:145" s="235" customFormat="1" ht="16.5" x14ac:dyDescent="0.3">
      <c r="B11" s="236"/>
      <c r="C11" s="237"/>
      <c r="D11" s="410" t="s">
        <v>1239</v>
      </c>
      <c r="E11" s="239"/>
      <c r="F11" s="254"/>
      <c r="G11" s="254"/>
      <c r="H11" s="239"/>
      <c r="I11" s="239"/>
      <c r="J11" s="495"/>
      <c r="K11" s="1384" t="str">
        <f>IF(J8="Selecione","",VLOOKUP('Provisão Biomassa Combustível'!$J$8,'Apoio_Provisão Biomassa Comb.'!$A$5:$B$58,2,FALSE))</f>
        <v/>
      </c>
      <c r="L11" s="1427"/>
      <c r="M11" s="237"/>
      <c r="N11" s="238"/>
      <c r="O11" s="237"/>
      <c r="P11" s="237"/>
      <c r="Q11" s="237"/>
      <c r="R11" s="237"/>
      <c r="S11" s="237"/>
      <c r="T11" s="237"/>
      <c r="U11" s="237"/>
      <c r="V11" s="237"/>
      <c r="W11" s="237"/>
      <c r="X11" s="237"/>
    </row>
    <row r="12" spans="1:145" s="235" customFormat="1" ht="16.5" x14ac:dyDescent="0.3">
      <c r="B12" s="236"/>
      <c r="C12" s="237"/>
      <c r="D12" s="472" t="s">
        <v>1248</v>
      </c>
      <c r="E12" s="239"/>
      <c r="F12" s="254"/>
      <c r="G12" s="254"/>
      <c r="H12" s="239"/>
      <c r="I12" s="239"/>
      <c r="J12" s="495"/>
      <c r="K12" s="1384" t="str">
        <f>IF(J8="Selecione","",VLOOKUP('Provisão Biomassa Combustível'!$J$8,'Apoio_Provisão Biomassa Comb.'!$A$5:$B$58,2,FALSE))</f>
        <v/>
      </c>
      <c r="L12" s="1427"/>
      <c r="M12" s="237"/>
      <c r="N12" s="238"/>
      <c r="O12" s="237"/>
      <c r="P12" s="237"/>
      <c r="Q12" s="237"/>
      <c r="R12" s="237"/>
      <c r="S12" s="237"/>
      <c r="T12" s="237"/>
      <c r="U12" s="237"/>
      <c r="V12" s="237"/>
      <c r="W12" s="237"/>
      <c r="X12" s="237"/>
    </row>
    <row r="13" spans="1:145" s="235" customFormat="1" x14ac:dyDescent="0.25">
      <c r="B13" s="236"/>
      <c r="C13" s="237"/>
      <c r="D13" s="437" t="s">
        <v>1140</v>
      </c>
      <c r="E13" s="438"/>
      <c r="F13" s="438"/>
      <c r="G13" s="438"/>
      <c r="H13" s="438"/>
      <c r="I13" s="255"/>
      <c r="J13" s="1037" t="str">
        <f>IF(J11="","",J12+J11)</f>
        <v/>
      </c>
      <c r="K13" s="1384" t="str">
        <f>IF(J8="Selecione","",VLOOKUP('Provisão Biomassa Combustível'!$J$8,'Apoio_Provisão Biomassa Comb.'!$A$5:$B$58,2,FALSE))</f>
        <v/>
      </c>
      <c r="L13" s="1427"/>
      <c r="M13" s="237"/>
      <c r="N13" s="238"/>
      <c r="O13" s="237"/>
      <c r="P13" s="237"/>
      <c r="Q13" s="237"/>
      <c r="R13" s="237"/>
      <c r="S13" s="237"/>
      <c r="T13" s="237"/>
      <c r="U13" s="237"/>
      <c r="V13" s="237"/>
      <c r="W13" s="237"/>
      <c r="X13" s="237"/>
    </row>
    <row r="14" spans="1:145" s="235" customFormat="1" ht="16.5" x14ac:dyDescent="0.3">
      <c r="B14" s="236"/>
      <c r="C14" s="237"/>
      <c r="D14" s="257" t="s">
        <v>1146</v>
      </c>
      <c r="E14" s="239"/>
      <c r="F14" s="239"/>
      <c r="G14" s="239"/>
      <c r="H14" s="239"/>
      <c r="I14" s="239"/>
      <c r="J14" s="494"/>
      <c r="K14" s="1384" t="str">
        <f>IF(J14="","",VLOOKUP(J8,'Apoio_Provisão Biomassa Comb.'!A5:D17,4))</f>
        <v/>
      </c>
      <c r="L14" s="1427"/>
      <c r="M14" s="237"/>
      <c r="N14" s="238"/>
      <c r="O14" s="237"/>
      <c r="P14" s="237"/>
      <c r="Q14" s="237"/>
      <c r="R14" s="237"/>
      <c r="S14" s="237"/>
      <c r="T14" s="237"/>
      <c r="U14" s="237"/>
      <c r="V14" s="237"/>
      <c r="W14" s="237"/>
      <c r="X14" s="237"/>
    </row>
    <row r="15" spans="1:145" s="235" customFormat="1" x14ac:dyDescent="0.25">
      <c r="B15" s="236"/>
      <c r="C15" s="237"/>
      <c r="D15" s="926" t="s">
        <v>0</v>
      </c>
      <c r="E15" s="927"/>
      <c r="F15" s="927"/>
      <c r="G15" s="927"/>
      <c r="H15" s="927"/>
      <c r="I15" s="927"/>
      <c r="J15" s="1038"/>
      <c r="K15" s="240"/>
      <c r="L15" s="1428"/>
      <c r="M15" s="237"/>
      <c r="N15" s="238"/>
      <c r="O15" s="237"/>
      <c r="P15" s="237"/>
      <c r="Q15" s="237"/>
      <c r="R15" s="237"/>
      <c r="S15" s="237"/>
      <c r="T15" s="237"/>
      <c r="U15" s="237"/>
      <c r="V15" s="237"/>
      <c r="W15" s="237"/>
      <c r="X15" s="237"/>
    </row>
    <row r="16" spans="1:145" s="235" customFormat="1" x14ac:dyDescent="0.25">
      <c r="B16" s="236"/>
      <c r="C16" s="237"/>
      <c r="D16" s="473" t="s">
        <v>1247</v>
      </c>
      <c r="E16" s="438"/>
      <c r="F16" s="438"/>
      <c r="G16" s="438"/>
      <c r="H16" s="438"/>
      <c r="I16" s="255"/>
      <c r="J16" s="495"/>
      <c r="K16" s="518"/>
      <c r="L16" s="1427"/>
      <c r="M16" s="237"/>
      <c r="N16" s="238"/>
      <c r="O16" s="237"/>
      <c r="P16" s="237"/>
      <c r="Q16" s="237"/>
      <c r="R16" s="237"/>
      <c r="S16" s="237"/>
      <c r="T16" s="237"/>
      <c r="U16" s="237"/>
      <c r="V16" s="237"/>
      <c r="W16" s="237"/>
      <c r="X16" s="237"/>
    </row>
    <row r="17" spans="1:26" s="235" customFormat="1" x14ac:dyDescent="0.25">
      <c r="B17" s="236"/>
      <c r="D17" s="926" t="s">
        <v>1</v>
      </c>
      <c r="E17" s="927"/>
      <c r="F17" s="927"/>
      <c r="G17" s="927"/>
      <c r="H17" s="927"/>
      <c r="I17" s="927"/>
      <c r="J17" s="1038"/>
      <c r="K17" s="240"/>
      <c r="L17" s="1428"/>
      <c r="M17" s="237"/>
      <c r="N17" s="238"/>
      <c r="O17" s="237"/>
      <c r="P17" s="237"/>
      <c r="Q17" s="237"/>
      <c r="R17" s="237"/>
      <c r="S17" s="237"/>
      <c r="T17" s="237"/>
      <c r="U17" s="237"/>
      <c r="V17" s="237"/>
      <c r="W17" s="237"/>
      <c r="X17" s="237"/>
    </row>
    <row r="18" spans="1:26" s="235" customFormat="1" ht="16.5" customHeight="1" x14ac:dyDescent="0.25">
      <c r="B18" s="236"/>
      <c r="C18" s="237"/>
      <c r="D18" s="1600" t="s">
        <v>1249</v>
      </c>
      <c r="E18" s="1601"/>
      <c r="F18" s="1601"/>
      <c r="G18" s="1601"/>
      <c r="H18" s="1601"/>
      <c r="I18" s="1601"/>
      <c r="J18" s="1103" t="s">
        <v>12</v>
      </c>
      <c r="K18" s="1384"/>
      <c r="L18" s="1026" t="str">
        <f>IF(J18="Outros","Preencha o campo abaixo","-")</f>
        <v>-</v>
      </c>
      <c r="M18" s="237"/>
      <c r="N18" s="238"/>
      <c r="O18" s="237"/>
      <c r="P18" s="237"/>
      <c r="Q18" s="237"/>
      <c r="R18" s="237"/>
      <c r="S18" s="237"/>
      <c r="T18" s="237"/>
      <c r="U18" s="237"/>
      <c r="V18" s="237"/>
      <c r="W18" s="237"/>
      <c r="X18" s="237"/>
    </row>
    <row r="19" spans="1:26" s="235" customFormat="1" ht="16.5" customHeight="1" x14ac:dyDescent="0.25">
      <c r="B19" s="236"/>
      <c r="C19" s="237"/>
      <c r="D19" s="1604" t="s">
        <v>1547</v>
      </c>
      <c r="E19" s="1605"/>
      <c r="F19" s="1605"/>
      <c r="G19" s="1605"/>
      <c r="H19" s="1605"/>
      <c r="I19" s="1605"/>
      <c r="J19" s="1036"/>
      <c r="K19" s="1384"/>
      <c r="L19" s="1025" t="str">
        <f>IF(J19&lt;&gt;"","Preencha o Pcalt","-")</f>
        <v>-</v>
      </c>
      <c r="M19" s="253"/>
      <c r="N19" s="238"/>
      <c r="O19" s="237"/>
      <c r="P19" s="237"/>
      <c r="Q19" s="237"/>
      <c r="R19" s="237"/>
      <c r="S19" s="237"/>
      <c r="T19" s="237"/>
      <c r="U19" s="237"/>
      <c r="V19" s="237"/>
      <c r="W19" s="237"/>
      <c r="X19" s="237"/>
    </row>
    <row r="20" spans="1:26" s="235" customFormat="1" ht="18" customHeight="1" x14ac:dyDescent="0.25">
      <c r="B20" s="236"/>
      <c r="C20" s="237"/>
      <c r="D20" s="923" t="s">
        <v>1418</v>
      </c>
      <c r="E20" s="657"/>
      <c r="F20" s="657"/>
      <c r="G20" s="657"/>
      <c r="H20" s="657"/>
      <c r="I20" s="657"/>
      <c r="J20" s="591"/>
      <c r="K20" s="1423" t="s">
        <v>539</v>
      </c>
      <c r="L20" s="846" t="str">
        <f>IF(J19="","Se não souber, deixe em branco.","Preencha este campo")</f>
        <v>Se não souber, deixe em branco.</v>
      </c>
      <c r="M20" s="237"/>
      <c r="N20" s="238"/>
      <c r="O20" s="237"/>
      <c r="P20" s="237"/>
      <c r="Q20" s="237"/>
      <c r="R20" s="237"/>
      <c r="S20" s="237"/>
      <c r="T20" s="237"/>
      <c r="U20" s="237"/>
      <c r="V20" s="237"/>
      <c r="W20" s="237"/>
      <c r="X20" s="237"/>
    </row>
    <row r="21" spans="1:26" s="235" customFormat="1" ht="16.5" customHeight="1" x14ac:dyDescent="0.3">
      <c r="B21" s="236"/>
      <c r="C21" s="237"/>
      <c r="D21" s="258" t="s">
        <v>1147</v>
      </c>
      <c r="E21" s="440"/>
      <c r="F21" s="440"/>
      <c r="G21" s="440"/>
      <c r="H21" s="440"/>
      <c r="I21" s="440"/>
      <c r="J21" s="1279"/>
      <c r="K21" s="518"/>
      <c r="L21" s="1026" t="str">
        <f>IF(J19="","Se não souber, deixe em branco.","Preencha este campo.")</f>
        <v>Se não souber, deixe em branco.</v>
      </c>
      <c r="M21" s="237"/>
      <c r="N21" s="238"/>
      <c r="O21" s="237"/>
      <c r="P21" s="237"/>
      <c r="Q21" s="237"/>
      <c r="R21" s="237"/>
      <c r="S21" s="237"/>
      <c r="T21" s="237"/>
      <c r="U21" s="237"/>
      <c r="V21" s="237"/>
      <c r="W21" s="237"/>
      <c r="X21" s="237"/>
    </row>
    <row r="22" spans="1:26" s="235" customFormat="1" ht="18" customHeight="1" x14ac:dyDescent="0.25">
      <c r="B22" s="236"/>
      <c r="C22" s="237"/>
      <c r="D22" s="928"/>
      <c r="E22" s="746"/>
      <c r="F22" s="746"/>
      <c r="G22" s="746"/>
      <c r="H22" s="746"/>
      <c r="I22" s="1028" t="s">
        <v>1419</v>
      </c>
      <c r="J22" s="1037" t="str">
        <f>IFERROR(IF(J21="",IF(J19="",(J12*FatorEqPC/(VLOOKUP(J18,'Apoio_Provisão Biomassa Comb.'!$A$4:$G$58,7,0))),""),""),"")</f>
        <v/>
      </c>
      <c r="K22" s="1384" t="str">
        <f>IF(J22="","",VLOOKUP($J$18,'Apoio_Provisão Biomassa Comb.'!$A$4:$B$58,2,FALSE))</f>
        <v/>
      </c>
      <c r="L22" s="1429"/>
      <c r="M22" s="237"/>
      <c r="N22" s="238"/>
      <c r="O22" s="237"/>
      <c r="P22" s="237"/>
      <c r="Q22" s="237"/>
      <c r="R22" s="237"/>
      <c r="S22" s="237"/>
      <c r="T22" s="237"/>
      <c r="U22" s="237"/>
      <c r="V22" s="237"/>
      <c r="W22" s="237"/>
      <c r="X22" s="237"/>
    </row>
    <row r="23" spans="1:26" s="235" customFormat="1" ht="16.5" x14ac:dyDescent="0.3">
      <c r="B23" s="236"/>
      <c r="C23" s="237"/>
      <c r="D23" s="257" t="s">
        <v>1143</v>
      </c>
      <c r="E23" s="239"/>
      <c r="F23" s="239"/>
      <c r="G23" s="239"/>
      <c r="H23" s="239"/>
      <c r="I23" s="239"/>
      <c r="J23" s="494"/>
      <c r="K23" s="1384" t="str">
        <f>IF(J23="","",VLOOKUP(J18,'Apoio_Provisão Biomassa Comb.'!A19:D58,4))</f>
        <v/>
      </c>
      <c r="L23" s="1429"/>
      <c r="M23" s="237"/>
      <c r="N23" s="238"/>
      <c r="O23" s="237"/>
      <c r="P23" s="237"/>
      <c r="Q23" s="237"/>
      <c r="R23" s="237"/>
      <c r="S23" s="237"/>
      <c r="T23" s="237"/>
      <c r="U23" s="237"/>
      <c r="V23" s="237"/>
      <c r="W23" s="237"/>
      <c r="X23" s="237"/>
    </row>
    <row r="24" spans="1:26" s="235" customFormat="1" x14ac:dyDescent="0.25">
      <c r="B24" s="236"/>
      <c r="C24" s="237"/>
      <c r="D24" s="926" t="s">
        <v>2</v>
      </c>
      <c r="E24" s="927"/>
      <c r="F24" s="927"/>
      <c r="G24" s="927"/>
      <c r="H24" s="927"/>
      <c r="I24" s="927"/>
      <c r="J24" s="1038"/>
      <c r="K24" s="1424"/>
      <c r="L24" s="508"/>
      <c r="M24" s="237"/>
      <c r="N24" s="238"/>
      <c r="O24" s="237"/>
      <c r="P24" s="237"/>
      <c r="Q24" s="237"/>
      <c r="R24" s="237"/>
      <c r="S24" s="237"/>
      <c r="T24" s="237"/>
      <c r="U24" s="237"/>
      <c r="V24" s="237"/>
      <c r="W24" s="237"/>
      <c r="X24" s="237"/>
    </row>
    <row r="25" spans="1:26" s="235" customFormat="1" ht="16.5" x14ac:dyDescent="0.3">
      <c r="B25" s="236"/>
      <c r="C25" s="237"/>
      <c r="D25" s="257" t="s">
        <v>1250</v>
      </c>
      <c r="E25" s="239"/>
      <c r="F25" s="239"/>
      <c r="G25" s="239"/>
      <c r="H25" s="239"/>
      <c r="I25" s="239"/>
      <c r="J25" s="1222"/>
      <c r="K25" s="518" t="s">
        <v>1190</v>
      </c>
      <c r="L25" s="1429"/>
      <c r="M25" s="237"/>
      <c r="N25" s="238"/>
      <c r="O25" s="237"/>
      <c r="P25" s="237"/>
      <c r="Q25" s="237"/>
      <c r="R25" s="237"/>
      <c r="S25" s="237"/>
      <c r="T25" s="237"/>
      <c r="U25" s="237"/>
      <c r="V25" s="237"/>
      <c r="W25" s="237"/>
      <c r="X25" s="237"/>
      <c r="Z25" s="237"/>
    </row>
    <row r="26" spans="1:26" s="235" customFormat="1" x14ac:dyDescent="0.25">
      <c r="B26" s="236"/>
      <c r="C26" s="237"/>
      <c r="D26" s="253" t="s">
        <v>1251</v>
      </c>
      <c r="E26" s="239"/>
      <c r="F26" s="239"/>
      <c r="G26" s="254"/>
      <c r="H26" s="237"/>
      <c r="I26" s="239"/>
      <c r="J26" s="1222"/>
      <c r="K26" s="518" t="s">
        <v>1119</v>
      </c>
      <c r="L26" s="1429"/>
      <c r="M26" s="237"/>
      <c r="N26" s="238"/>
      <c r="O26" s="237"/>
      <c r="P26" s="237"/>
      <c r="Q26" s="237"/>
      <c r="R26" s="237"/>
      <c r="S26" s="237"/>
      <c r="T26" s="237"/>
      <c r="U26" s="237"/>
      <c r="Z26" s="237"/>
    </row>
    <row r="27" spans="1:26" s="235" customFormat="1" ht="30.75" customHeight="1" x14ac:dyDescent="0.25">
      <c r="B27" s="236"/>
      <c r="C27" s="237"/>
      <c r="D27" s="1598" t="s">
        <v>1144</v>
      </c>
      <c r="E27" s="1599"/>
      <c r="F27" s="1599"/>
      <c r="G27" s="1599"/>
      <c r="H27" s="1599"/>
      <c r="I27" s="1599"/>
      <c r="J27" s="1223"/>
      <c r="K27" s="510" t="s">
        <v>1516</v>
      </c>
      <c r="L27" s="1429"/>
      <c r="M27" s="1281"/>
      <c r="N27" s="238"/>
      <c r="O27" s="237"/>
      <c r="P27" s="237"/>
      <c r="Q27" s="237"/>
      <c r="R27" s="237"/>
      <c r="S27" s="237"/>
      <c r="T27" s="237"/>
      <c r="U27" s="237"/>
      <c r="Z27" s="237"/>
    </row>
    <row r="28" spans="1:26" s="235" customFormat="1" ht="30.75" customHeight="1" x14ac:dyDescent="0.25">
      <c r="B28" s="236"/>
      <c r="C28" s="237"/>
      <c r="D28" s="1602" t="s">
        <v>1254</v>
      </c>
      <c r="E28" s="1603"/>
      <c r="F28" s="1603"/>
      <c r="G28" s="1603"/>
      <c r="H28" s="1603"/>
      <c r="I28" s="1603"/>
      <c r="J28" s="1221"/>
      <c r="K28" s="510"/>
      <c r="L28" s="1430"/>
      <c r="M28" s="237"/>
      <c r="N28" s="238"/>
      <c r="O28" s="237"/>
      <c r="P28" s="237"/>
      <c r="Q28" s="237"/>
      <c r="R28" s="237"/>
      <c r="S28" s="237"/>
      <c r="T28" s="237"/>
      <c r="U28" s="237"/>
      <c r="Z28" s="237"/>
    </row>
    <row r="29" spans="1:26" s="235" customFormat="1" ht="17.25" thickBot="1" x14ac:dyDescent="0.35">
      <c r="A29" s="237"/>
      <c r="B29" s="236"/>
      <c r="C29" s="237"/>
      <c r="D29" s="260" t="s">
        <v>1145</v>
      </c>
      <c r="E29" s="241"/>
      <c r="F29" s="241"/>
      <c r="G29" s="241"/>
      <c r="H29" s="241"/>
      <c r="I29" s="241"/>
      <c r="J29" s="1224"/>
      <c r="K29" s="1425" t="s">
        <v>1132</v>
      </c>
      <c r="L29" s="1426" t="s">
        <v>1270</v>
      </c>
      <c r="M29" s="237"/>
      <c r="N29" s="238"/>
      <c r="O29" s="237"/>
      <c r="P29" s="237"/>
      <c r="Q29" s="237"/>
      <c r="R29" s="237"/>
      <c r="S29" s="237"/>
      <c r="T29" s="237"/>
      <c r="U29" s="237"/>
      <c r="Z29" s="237"/>
    </row>
    <row r="30" spans="1:26" s="235" customFormat="1" x14ac:dyDescent="0.25">
      <c r="A30" s="237"/>
      <c r="B30" s="236"/>
      <c r="C30" s="237"/>
      <c r="D30" s="237"/>
      <c r="E30" s="237"/>
      <c r="F30" s="237"/>
      <c r="G30" s="237"/>
      <c r="H30" s="237"/>
      <c r="I30" s="237"/>
      <c r="J30" s="237"/>
      <c r="K30" s="237"/>
      <c r="L30" s="237"/>
      <c r="M30" s="237"/>
      <c r="N30" s="238"/>
      <c r="O30" s="237"/>
      <c r="P30" s="237"/>
      <c r="Q30" s="237"/>
      <c r="R30" s="237"/>
      <c r="S30" s="237"/>
      <c r="T30" s="237"/>
      <c r="U30" s="237"/>
    </row>
    <row r="31" spans="1:26" s="235" customFormat="1" ht="15.75" x14ac:dyDescent="0.25">
      <c r="A31" s="238"/>
      <c r="B31" s="1583" t="s">
        <v>498</v>
      </c>
      <c r="C31" s="1584"/>
      <c r="D31" s="1584"/>
      <c r="E31" s="1584"/>
      <c r="F31" s="1584"/>
      <c r="G31" s="1584"/>
      <c r="H31" s="1584"/>
      <c r="I31" s="1584"/>
      <c r="J31" s="1584"/>
      <c r="K31" s="1584"/>
      <c r="L31" s="1584"/>
      <c r="M31" s="1584"/>
      <c r="N31" s="1585"/>
      <c r="O31" s="243"/>
      <c r="P31" s="243"/>
      <c r="Q31" s="243"/>
      <c r="R31" s="243"/>
      <c r="S31" s="243"/>
      <c r="T31" s="243"/>
      <c r="U31" s="237"/>
    </row>
    <row r="32" spans="1:26" s="235" customFormat="1" ht="16.5" thickBot="1" x14ac:dyDescent="0.3">
      <c r="A32" s="237"/>
      <c r="B32" s="1494"/>
      <c r="C32" s="1500"/>
      <c r="D32" s="1500"/>
      <c r="E32" s="1500"/>
      <c r="F32" s="1500"/>
      <c r="G32" s="1500"/>
      <c r="H32" s="1500"/>
      <c r="I32" s="1500"/>
      <c r="J32" s="1500"/>
      <c r="K32" s="1500"/>
      <c r="L32" s="1500"/>
      <c r="M32" s="1500"/>
      <c r="N32" s="1498"/>
      <c r="O32" s="243"/>
      <c r="P32" s="243"/>
      <c r="Q32" s="243"/>
      <c r="R32" s="243"/>
      <c r="S32" s="243"/>
      <c r="T32" s="243"/>
      <c r="U32" s="237"/>
    </row>
    <row r="33" spans="1:21" s="235" customFormat="1" ht="16.5" thickBot="1" x14ac:dyDescent="0.3">
      <c r="A33" s="237"/>
      <c r="B33" s="464"/>
      <c r="C33" s="1613" t="s">
        <v>0</v>
      </c>
      <c r="D33" s="1613"/>
      <c r="E33" s="1613"/>
      <c r="F33" s="247"/>
      <c r="G33" s="261" t="s">
        <v>1</v>
      </c>
      <c r="H33" s="243"/>
      <c r="I33" s="245"/>
      <c r="J33" s="237"/>
      <c r="K33" s="261" t="s">
        <v>2</v>
      </c>
      <c r="L33" s="247"/>
      <c r="M33" s="246"/>
      <c r="N33" s="463"/>
      <c r="O33" s="243"/>
      <c r="P33" s="243"/>
      <c r="Q33" s="243"/>
      <c r="R33" s="243"/>
      <c r="S33" s="243"/>
      <c r="T33" s="243"/>
      <c r="U33" s="237"/>
    </row>
    <row r="34" spans="1:21" s="235" customFormat="1" ht="18.75" x14ac:dyDescent="0.35">
      <c r="A34" s="237"/>
      <c r="B34" s="467"/>
      <c r="C34" s="403" t="s">
        <v>1141</v>
      </c>
      <c r="D34" s="1104" t="str">
        <f>IFERROR(J13/J16,"")</f>
        <v/>
      </c>
      <c r="E34" s="460"/>
      <c r="F34" s="243"/>
      <c r="G34" s="457" t="s">
        <v>1142</v>
      </c>
      <c r="H34" s="1225" t="str">
        <f>IF(J21="",J22,J21)</f>
        <v/>
      </c>
      <c r="I34" s="458" t="str">
        <f>IF(K21="",K22,K21)</f>
        <v/>
      </c>
      <c r="J34" s="243"/>
      <c r="K34" s="475" t="s">
        <v>1252</v>
      </c>
      <c r="L34" s="1274" t="str">
        <f>IF(J25="","",J25*J26*-1)</f>
        <v/>
      </c>
      <c r="M34" s="43"/>
      <c r="N34" s="463"/>
      <c r="O34" s="243"/>
      <c r="P34" s="243"/>
      <c r="Q34" s="243"/>
      <c r="R34" s="243"/>
      <c r="S34" s="243"/>
      <c r="T34" s="243"/>
      <c r="U34" s="237"/>
    </row>
    <row r="35" spans="1:21" s="235" customFormat="1" ht="19.5" thickBot="1" x14ac:dyDescent="0.4">
      <c r="A35" s="237"/>
      <c r="B35" s="467"/>
      <c r="C35" s="38" t="s">
        <v>506</v>
      </c>
      <c r="D35" s="1077" t="str">
        <f>IF(J16="","",(J13*J14))</f>
        <v/>
      </c>
      <c r="E35" s="461" t="s">
        <v>13</v>
      </c>
      <c r="F35" s="237"/>
      <c r="G35" s="459" t="s">
        <v>506</v>
      </c>
      <c r="H35" s="834" t="str">
        <f>IFERROR(((IF(J21="",J22,J21))*J23)-(J12*J14),"")</f>
        <v/>
      </c>
      <c r="I35" s="456" t="s">
        <v>13</v>
      </c>
      <c r="J35" s="237"/>
      <c r="K35" s="476" t="s">
        <v>1253</v>
      </c>
      <c r="L35" s="1280" t="str">
        <f>IF(J28="","",J28*'Apoio_Provisão Biomassa Comb.'!E60*-1)</f>
        <v/>
      </c>
      <c r="M35" s="477" t="s">
        <v>1161</v>
      </c>
      <c r="N35" s="463"/>
      <c r="O35" s="243"/>
      <c r="P35" s="243"/>
      <c r="Q35" s="243"/>
      <c r="R35" s="243"/>
      <c r="S35" s="243"/>
      <c r="T35" s="243"/>
      <c r="U35" s="237"/>
    </row>
    <row r="36" spans="1:21" s="235" customFormat="1" ht="16.5" thickBot="1" x14ac:dyDescent="0.3">
      <c r="A36" s="238"/>
      <c r="B36" s="1434"/>
      <c r="C36" s="248"/>
      <c r="D36" s="243"/>
      <c r="E36" s="243"/>
      <c r="F36" s="243"/>
      <c r="G36" s="249"/>
      <c r="H36" s="243"/>
      <c r="I36" s="248"/>
      <c r="J36" s="243"/>
      <c r="K36" s="40" t="s">
        <v>506</v>
      </c>
      <c r="L36" s="1275" t="str">
        <f>IF(L34="",IF(L35="","",(J29*L35)),IF(L35="",(L34*J27),(J29*L35)+(L34*J27)))</f>
        <v/>
      </c>
      <c r="M36" s="478" t="s">
        <v>13</v>
      </c>
      <c r="N36" s="463"/>
      <c r="O36" s="243"/>
      <c r="P36" s="243"/>
      <c r="Q36" s="243"/>
      <c r="R36" s="243"/>
      <c r="S36" s="243"/>
      <c r="T36" s="243"/>
      <c r="U36" s="237"/>
    </row>
    <row r="37" spans="1:21" s="235" customFormat="1" ht="15.75" x14ac:dyDescent="0.25">
      <c r="A37" s="238"/>
      <c r="B37" s="465"/>
      <c r="C37" s="243"/>
      <c r="D37" s="243"/>
      <c r="E37" s="243"/>
      <c r="F37" s="243"/>
      <c r="G37" s="243"/>
      <c r="H37" s="243"/>
      <c r="I37" s="243"/>
      <c r="J37" s="243"/>
      <c r="K37" s="25"/>
      <c r="L37" s="1432"/>
      <c r="M37" s="1433"/>
      <c r="N37" s="463"/>
      <c r="O37" s="243"/>
      <c r="P37" s="243"/>
      <c r="Q37" s="243"/>
      <c r="R37" s="243"/>
      <c r="S37" s="243"/>
      <c r="T37" s="243"/>
      <c r="U37" s="237"/>
    </row>
    <row r="38" spans="1:21" s="235" customFormat="1" ht="15.75" x14ac:dyDescent="0.25">
      <c r="A38" s="238"/>
      <c r="B38" s="1494"/>
      <c r="C38" s="1495"/>
      <c r="D38" s="1495"/>
      <c r="E38" s="1499"/>
      <c r="F38" s="1495"/>
      <c r="G38" s="1495"/>
      <c r="H38" s="1495"/>
      <c r="I38" s="1495"/>
      <c r="J38" s="1495"/>
      <c r="K38" s="1488"/>
      <c r="L38" s="1496"/>
      <c r="M38" s="1497"/>
      <c r="N38" s="1498"/>
      <c r="O38" s="243"/>
      <c r="P38" s="243"/>
      <c r="Q38" s="243"/>
      <c r="R38" s="243"/>
      <c r="S38" s="243"/>
      <c r="T38" s="243"/>
      <c r="U38" s="237"/>
    </row>
    <row r="39" spans="1:21" s="235" customFormat="1" ht="15.75" x14ac:dyDescent="0.25">
      <c r="A39" s="238"/>
      <c r="B39" s="1616" t="s">
        <v>1589</v>
      </c>
      <c r="C39" s="1617"/>
      <c r="D39" s="1617"/>
      <c r="E39" s="1617"/>
      <c r="F39" s="1617"/>
      <c r="G39" s="1617"/>
      <c r="H39" s="1617"/>
      <c r="I39" s="1617"/>
      <c r="J39" s="1617"/>
      <c r="K39" s="1617"/>
      <c r="L39" s="1617"/>
      <c r="M39" s="1617"/>
      <c r="N39" s="1618"/>
      <c r="O39" s="243"/>
      <c r="P39" s="243"/>
      <c r="Q39" s="243"/>
      <c r="R39" s="243"/>
      <c r="S39" s="243"/>
      <c r="T39" s="243"/>
      <c r="U39" s="237"/>
    </row>
    <row r="40" spans="1:21" s="235" customFormat="1" ht="15.75" x14ac:dyDescent="0.25">
      <c r="A40" s="238"/>
      <c r="B40" s="1494"/>
      <c r="C40" s="1495"/>
      <c r="D40" s="1495"/>
      <c r="E40" s="1495"/>
      <c r="F40" s="1495"/>
      <c r="G40" s="1495"/>
      <c r="H40" s="1495"/>
      <c r="I40" s="1495"/>
      <c r="J40" s="1495"/>
      <c r="K40" s="1488"/>
      <c r="L40" s="1496"/>
      <c r="M40" s="1497"/>
      <c r="N40" s="1498"/>
      <c r="O40" s="243"/>
      <c r="P40" s="243"/>
      <c r="Q40" s="243"/>
      <c r="R40" s="243"/>
      <c r="S40" s="243"/>
      <c r="T40" s="243"/>
      <c r="U40" s="237"/>
    </row>
    <row r="41" spans="1:21" s="235" customFormat="1" ht="16.5" thickBot="1" x14ac:dyDescent="0.3">
      <c r="A41" s="238"/>
      <c r="B41" s="464"/>
      <c r="D41" s="13" t="s">
        <v>1238</v>
      </c>
      <c r="E41" s="607"/>
      <c r="F41" s="607"/>
      <c r="G41" s="607"/>
      <c r="L41" s="462"/>
      <c r="M41" s="462"/>
      <c r="N41" s="463"/>
      <c r="O41" s="243"/>
      <c r="P41" s="243"/>
      <c r="Q41" s="243"/>
      <c r="R41" s="243"/>
      <c r="S41" s="243"/>
      <c r="T41" s="243"/>
      <c r="U41" s="237"/>
    </row>
    <row r="42" spans="1:21" s="235" customFormat="1" ht="15.75" x14ac:dyDescent="0.25">
      <c r="A42" s="237"/>
      <c r="B42" s="464"/>
      <c r="D42" s="1609" t="s">
        <v>1237</v>
      </c>
      <c r="E42" s="1610"/>
      <c r="F42" s="1607" t="s">
        <v>0</v>
      </c>
      <c r="G42" s="1607"/>
      <c r="H42" s="1606" t="s">
        <v>1</v>
      </c>
      <c r="I42" s="1606"/>
      <c r="J42" s="1614" t="s">
        <v>2</v>
      </c>
      <c r="K42" s="1614"/>
      <c r="L42" s="1615"/>
      <c r="M42" s="462"/>
      <c r="N42" s="463"/>
      <c r="O42" s="243"/>
      <c r="P42" s="243"/>
      <c r="Q42" s="243"/>
      <c r="R42" s="243"/>
      <c r="S42" s="243"/>
      <c r="T42" s="243"/>
      <c r="U42" s="237"/>
    </row>
    <row r="43" spans="1:21" s="235" customFormat="1" ht="18.75" x14ac:dyDescent="0.35">
      <c r="A43" s="237"/>
      <c r="B43" s="464"/>
      <c r="D43" s="1611"/>
      <c r="E43" s="1612"/>
      <c r="F43" s="655" t="s">
        <v>1338</v>
      </c>
      <c r="G43" s="655" t="s">
        <v>1337</v>
      </c>
      <c r="H43" s="656" t="s">
        <v>1389</v>
      </c>
      <c r="I43" s="656" t="s">
        <v>1337</v>
      </c>
      <c r="J43" s="835" t="s">
        <v>1252</v>
      </c>
      <c r="K43" s="835" t="s">
        <v>1390</v>
      </c>
      <c r="L43" s="847" t="s">
        <v>1337</v>
      </c>
      <c r="M43" s="462"/>
      <c r="N43" s="463"/>
      <c r="O43" s="243"/>
      <c r="P43" s="243"/>
      <c r="Q43" s="243"/>
      <c r="R43" s="243"/>
      <c r="S43" s="243"/>
      <c r="T43" s="243"/>
      <c r="U43" s="237"/>
    </row>
    <row r="44" spans="1:21" s="235" customFormat="1" ht="15.75" x14ac:dyDescent="0.25">
      <c r="A44" s="237"/>
      <c r="B44" s="464"/>
      <c r="D44" s="1594"/>
      <c r="E44" s="1595"/>
      <c r="F44" s="1031"/>
      <c r="G44" s="615"/>
      <c r="H44" s="1032"/>
      <c r="I44" s="615"/>
      <c r="J44" s="1033"/>
      <c r="K44" s="1034"/>
      <c r="L44" s="1035"/>
      <c r="M44" s="848"/>
      <c r="N44" s="463"/>
      <c r="O44" s="243"/>
      <c r="P44" s="243"/>
      <c r="Q44" s="243"/>
      <c r="R44" s="243"/>
      <c r="S44" s="243"/>
      <c r="T44" s="243"/>
      <c r="U44" s="237"/>
    </row>
    <row r="45" spans="1:21" s="235" customFormat="1" ht="15.75" x14ac:dyDescent="0.25">
      <c r="A45" s="237"/>
      <c r="B45" s="464"/>
      <c r="D45" s="1590"/>
      <c r="E45" s="1591"/>
      <c r="F45" s="836"/>
      <c r="G45" s="836"/>
      <c r="H45" s="675"/>
      <c r="I45" s="675"/>
      <c r="J45" s="675"/>
      <c r="K45" s="675"/>
      <c r="L45" s="837"/>
      <c r="M45" s="462"/>
      <c r="N45" s="463"/>
      <c r="O45" s="243"/>
      <c r="P45" s="243"/>
      <c r="Q45" s="243"/>
      <c r="R45" s="243"/>
      <c r="S45" s="243"/>
      <c r="T45" s="243"/>
      <c r="U45" s="237"/>
    </row>
    <row r="46" spans="1:21" s="235" customFormat="1" ht="15.75" customHeight="1" x14ac:dyDescent="0.25">
      <c r="A46" s="237"/>
      <c r="B46" s="464"/>
      <c r="D46" s="1590"/>
      <c r="E46" s="1591"/>
      <c r="F46" s="836"/>
      <c r="G46" s="836"/>
      <c r="H46" s="675"/>
      <c r="I46" s="675"/>
      <c r="J46" s="675"/>
      <c r="K46" s="675"/>
      <c r="L46" s="837"/>
      <c r="M46" s="462"/>
      <c r="N46" s="463"/>
      <c r="O46" s="243"/>
      <c r="P46" s="243"/>
      <c r="Q46" s="243"/>
      <c r="R46" s="243"/>
      <c r="S46" s="243"/>
      <c r="T46" s="243"/>
      <c r="U46" s="237"/>
    </row>
    <row r="47" spans="1:21" s="235" customFormat="1" ht="15.75" customHeight="1" x14ac:dyDescent="0.25">
      <c r="A47" s="237"/>
      <c r="B47" s="464"/>
      <c r="D47" s="1590"/>
      <c r="E47" s="1591"/>
      <c r="F47" s="836"/>
      <c r="G47" s="836"/>
      <c r="H47" s="675"/>
      <c r="I47" s="675"/>
      <c r="J47" s="675"/>
      <c r="K47" s="675"/>
      <c r="L47" s="837"/>
      <c r="M47" s="462"/>
      <c r="N47" s="463"/>
      <c r="O47" s="243"/>
      <c r="P47" s="243"/>
      <c r="Q47" s="243"/>
      <c r="R47" s="243"/>
      <c r="S47" s="243"/>
      <c r="T47" s="243"/>
      <c r="U47" s="237"/>
    </row>
    <row r="48" spans="1:21" s="235" customFormat="1" ht="15.75" customHeight="1" x14ac:dyDescent="0.25">
      <c r="A48" s="237"/>
      <c r="B48" s="464"/>
      <c r="D48" s="1590"/>
      <c r="E48" s="1591"/>
      <c r="F48" s="836"/>
      <c r="G48" s="836"/>
      <c r="H48" s="675"/>
      <c r="I48" s="675"/>
      <c r="J48" s="675"/>
      <c r="K48" s="675"/>
      <c r="L48" s="837"/>
      <c r="M48" s="462"/>
      <c r="N48" s="463"/>
      <c r="O48" s="243"/>
      <c r="P48" s="243"/>
      <c r="Q48" s="243"/>
      <c r="R48" s="243"/>
      <c r="S48" s="243"/>
      <c r="T48" s="243"/>
      <c r="U48" s="237"/>
    </row>
    <row r="49" spans="1:21" s="235" customFormat="1" ht="15.75" customHeight="1" x14ac:dyDescent="0.25">
      <c r="A49" s="237"/>
      <c r="B49" s="464"/>
      <c r="D49" s="1590"/>
      <c r="E49" s="1591"/>
      <c r="F49" s="836"/>
      <c r="G49" s="836"/>
      <c r="H49" s="675"/>
      <c r="I49" s="675"/>
      <c r="J49" s="675"/>
      <c r="K49" s="675"/>
      <c r="L49" s="837"/>
      <c r="M49" s="462"/>
      <c r="N49" s="463"/>
      <c r="O49" s="243"/>
      <c r="P49" s="243"/>
      <c r="Q49" s="243"/>
      <c r="R49" s="243"/>
      <c r="S49" s="243"/>
      <c r="T49" s="243"/>
      <c r="U49" s="237"/>
    </row>
    <row r="50" spans="1:21" s="235" customFormat="1" ht="15.75" customHeight="1" thickBot="1" x14ac:dyDescent="0.3">
      <c r="B50" s="242"/>
      <c r="D50" s="1590"/>
      <c r="E50" s="1591"/>
      <c r="F50" s="836"/>
      <c r="G50" s="836"/>
      <c r="H50" s="675"/>
      <c r="I50" s="675"/>
      <c r="J50" s="675"/>
      <c r="K50" s="675"/>
      <c r="L50" s="837"/>
      <c r="M50" s="243"/>
      <c r="N50" s="244"/>
      <c r="O50" s="243"/>
      <c r="P50" s="243"/>
      <c r="Q50" s="243"/>
      <c r="R50" s="243"/>
      <c r="S50" s="243"/>
      <c r="T50" s="243"/>
      <c r="U50" s="237"/>
    </row>
    <row r="51" spans="1:21" s="235" customFormat="1" ht="15" customHeight="1" x14ac:dyDescent="0.25">
      <c r="B51" s="242"/>
      <c r="D51" s="1590"/>
      <c r="E51" s="1591"/>
      <c r="F51" s="836"/>
      <c r="G51" s="836"/>
      <c r="H51" s="675"/>
      <c r="I51" s="675"/>
      <c r="J51" s="675"/>
      <c r="K51" s="675"/>
      <c r="L51" s="837"/>
      <c r="N51" s="244"/>
      <c r="O51" s="247"/>
      <c r="Q51" s="247"/>
      <c r="R51" s="247"/>
      <c r="S51" s="246"/>
      <c r="T51" s="243"/>
      <c r="U51" s="237"/>
    </row>
    <row r="52" spans="1:21" s="235" customFormat="1" ht="15" customHeight="1" x14ac:dyDescent="0.25">
      <c r="B52" s="242"/>
      <c r="D52" s="1590"/>
      <c r="E52" s="1591"/>
      <c r="F52" s="836"/>
      <c r="G52" s="836"/>
      <c r="H52" s="675"/>
      <c r="I52" s="675"/>
      <c r="J52" s="675"/>
      <c r="K52" s="675"/>
      <c r="L52" s="837"/>
      <c r="N52" s="244"/>
      <c r="O52" s="243"/>
      <c r="P52" s="243"/>
      <c r="Q52" s="243"/>
      <c r="R52" s="243"/>
      <c r="S52" s="249"/>
      <c r="T52" s="243"/>
      <c r="U52" s="237"/>
    </row>
    <row r="53" spans="1:21" s="235" customFormat="1" ht="15.75" customHeight="1" thickBot="1" x14ac:dyDescent="0.3">
      <c r="B53" s="242"/>
      <c r="D53" s="1592"/>
      <c r="E53" s="1593"/>
      <c r="F53" s="838"/>
      <c r="G53" s="838"/>
      <c r="H53" s="839"/>
      <c r="I53" s="839"/>
      <c r="J53" s="839"/>
      <c r="K53" s="839"/>
      <c r="L53" s="840"/>
      <c r="N53" s="244"/>
      <c r="O53" s="243"/>
      <c r="R53" s="243"/>
      <c r="S53" s="249"/>
      <c r="T53" s="243"/>
      <c r="U53" s="237"/>
    </row>
    <row r="54" spans="1:21" s="235" customFormat="1" x14ac:dyDescent="0.25">
      <c r="B54" s="242"/>
      <c r="F54" s="237"/>
      <c r="G54" s="1029"/>
      <c r="H54" s="1029"/>
      <c r="I54" s="1030"/>
      <c r="J54" s="280"/>
      <c r="N54" s="244"/>
      <c r="O54" s="243"/>
      <c r="R54" s="243"/>
      <c r="S54" s="249"/>
      <c r="T54" s="243"/>
      <c r="U54" s="237"/>
    </row>
    <row r="55" spans="1:21" s="235" customFormat="1" ht="15.75" thickBot="1" x14ac:dyDescent="0.3">
      <c r="B55" s="250"/>
      <c r="C55" s="265"/>
      <c r="D55" s="266"/>
      <c r="E55" s="266"/>
      <c r="F55" s="251"/>
      <c r="G55" s="267"/>
      <c r="H55" s="251"/>
      <c r="I55" s="265"/>
      <c r="J55" s="266"/>
      <c r="K55" s="266"/>
      <c r="L55" s="251"/>
      <c r="M55" s="267"/>
      <c r="N55" s="252"/>
      <c r="O55" s="243"/>
      <c r="R55" s="243"/>
      <c r="S55" s="249"/>
      <c r="T55" s="243"/>
      <c r="U55" s="237"/>
    </row>
    <row r="56" spans="1:21" s="235" customFormat="1" ht="15.75" thickTop="1" x14ac:dyDescent="0.25"/>
    <row r="57" spans="1:21" s="2" customFormat="1" hidden="1" x14ac:dyDescent="0.25">
      <c r="L57" s="1282"/>
    </row>
    <row r="58" spans="1:21" s="2" customFormat="1" hidden="1" x14ac:dyDescent="0.25"/>
    <row r="59" spans="1:21" s="2" customFormat="1" hidden="1" x14ac:dyDescent="0.25"/>
    <row r="60" spans="1:21" s="2" customFormat="1" hidden="1" x14ac:dyDescent="0.25"/>
    <row r="61" spans="1:21" s="2" customFormat="1" hidden="1" x14ac:dyDescent="0.25"/>
    <row r="62" spans="1:21" s="2" customFormat="1" hidden="1" x14ac:dyDescent="0.25"/>
    <row r="63" spans="1:21" s="2" customFormat="1" hidden="1" x14ac:dyDescent="0.25"/>
    <row r="64" spans="1:21" s="2" customFormat="1" hidden="1" x14ac:dyDescent="0.25"/>
    <row r="65" s="2" customFormat="1" hidden="1" x14ac:dyDescent="0.25"/>
    <row r="66" s="2" customFormat="1" hidden="1" x14ac:dyDescent="0.25"/>
    <row r="67" s="2" customFormat="1" hidden="1" x14ac:dyDescent="0.25"/>
    <row r="68" s="2" customFormat="1" hidden="1" x14ac:dyDescent="0.25"/>
    <row r="69" s="2" customFormat="1" hidden="1" x14ac:dyDescent="0.25"/>
    <row r="70" s="2" customFormat="1" hidden="1" x14ac:dyDescent="0.25"/>
    <row r="71" s="2" customFormat="1" hidden="1" x14ac:dyDescent="0.25"/>
    <row r="72" s="2" customFormat="1" hidden="1" x14ac:dyDescent="0.25"/>
    <row r="73" s="2" customFormat="1" hidden="1" x14ac:dyDescent="0.25"/>
    <row r="74" s="2" customFormat="1" hidden="1" x14ac:dyDescent="0.25"/>
    <row r="75" s="2" customFormat="1" hidden="1" x14ac:dyDescent="0.25"/>
    <row r="76" s="2" customFormat="1" hidden="1" x14ac:dyDescent="0.25"/>
    <row r="77" s="2" customFormat="1" hidden="1" x14ac:dyDescent="0.25"/>
    <row r="78" hidden="1" x14ac:dyDescent="0.25"/>
    <row r="79" hidden="1" x14ac:dyDescent="0.25"/>
    <row r="80" hidden="1" x14ac:dyDescent="0.25"/>
    <row r="81" spans="2:3" hidden="1" x14ac:dyDescent="0.25">
      <c r="B81" s="2"/>
      <c r="C81" s="2"/>
    </row>
    <row r="82" spans="2:3" hidden="1" x14ac:dyDescent="0.25">
      <c r="B82" s="2"/>
      <c r="C82" s="2"/>
    </row>
    <row r="83" spans="2:3" hidden="1" x14ac:dyDescent="0.25">
      <c r="B83" s="2"/>
      <c r="C83" s="2"/>
    </row>
    <row r="84" spans="2:3" hidden="1" x14ac:dyDescent="0.25">
      <c r="B84" s="2"/>
      <c r="C84" s="2"/>
    </row>
    <row r="85" spans="2:3" hidden="1" x14ac:dyDescent="0.25">
      <c r="B85" s="2"/>
      <c r="C85" s="2"/>
    </row>
    <row r="86" spans="2:3" hidden="1" x14ac:dyDescent="0.25">
      <c r="B86" s="2"/>
      <c r="C86" s="2"/>
    </row>
    <row r="87" spans="2:3" hidden="1" x14ac:dyDescent="0.25">
      <c r="B87" s="2"/>
      <c r="C87" s="2"/>
    </row>
    <row r="88" spans="2:3" hidden="1" x14ac:dyDescent="0.25">
      <c r="B88" s="2"/>
      <c r="C88" s="2"/>
    </row>
    <row r="89" spans="2:3" hidden="1" x14ac:dyDescent="0.25">
      <c r="B89" s="2"/>
      <c r="C89" s="2"/>
    </row>
    <row r="90" spans="2:3" hidden="1" x14ac:dyDescent="0.25">
      <c r="B90" s="2"/>
      <c r="C90" s="2"/>
    </row>
    <row r="91" spans="2:3" hidden="1" x14ac:dyDescent="0.25">
      <c r="B91" s="2"/>
      <c r="C91" s="2"/>
    </row>
    <row r="92" spans="2:3" hidden="1" x14ac:dyDescent="0.25">
      <c r="B92" s="2"/>
      <c r="C92" s="2"/>
    </row>
    <row r="93" spans="2:3" hidden="1" x14ac:dyDescent="0.25">
      <c r="B93" s="2"/>
      <c r="C93" s="2"/>
    </row>
    <row r="94" spans="2:3" hidden="1" x14ac:dyDescent="0.25">
      <c r="B94" s="2"/>
      <c r="C94" s="2"/>
    </row>
    <row r="95" spans="2:3" hidden="1" x14ac:dyDescent="0.25"/>
    <row r="96" spans="2:3" hidden="1" x14ac:dyDescent="0.25"/>
    <row r="97" spans="13:13" hidden="1" x14ac:dyDescent="0.25"/>
    <row r="98" spans="13:13" hidden="1" x14ac:dyDescent="0.25"/>
    <row r="99" spans="13:13" hidden="1" x14ac:dyDescent="0.25"/>
    <row r="100" spans="13:13" hidden="1" x14ac:dyDescent="0.25"/>
    <row r="101" spans="13:13" hidden="1" x14ac:dyDescent="0.25"/>
    <row r="102" spans="13:13" hidden="1" x14ac:dyDescent="0.25"/>
    <row r="103" spans="13:13" hidden="1" x14ac:dyDescent="0.25"/>
    <row r="104" spans="13:13" hidden="1" x14ac:dyDescent="0.25">
      <c r="M104" s="1"/>
    </row>
    <row r="105" spans="13:13" hidden="1" x14ac:dyDescent="0.25"/>
    <row r="106" spans="13:13" hidden="1" x14ac:dyDescent="0.25"/>
    <row r="107" spans="13:13" hidden="1" x14ac:dyDescent="0.25"/>
    <row r="108" spans="13:13" hidden="1" x14ac:dyDescent="0.25"/>
    <row r="109" spans="13:13" hidden="1" x14ac:dyDescent="0.25"/>
    <row r="110" spans="13:13" hidden="1" x14ac:dyDescent="0.25"/>
    <row r="111" spans="13:13" hidden="1" x14ac:dyDescent="0.25"/>
    <row r="112" spans="13:13"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row r="143" hidden="1" x14ac:dyDescent="0.25"/>
    <row r="144" hidden="1" x14ac:dyDescent="0.25"/>
    <row r="145" hidden="1" x14ac:dyDescent="0.25"/>
    <row r="146" hidden="1" x14ac:dyDescent="0.25"/>
    <row r="147" hidden="1" x14ac:dyDescent="0.25"/>
    <row r="148" hidden="1" x14ac:dyDescent="0.25"/>
    <row r="149" hidden="1" x14ac:dyDescent="0.25"/>
    <row r="150" hidden="1" x14ac:dyDescent="0.25"/>
    <row r="151" hidden="1" x14ac:dyDescent="0.25"/>
    <row r="152" hidden="1" x14ac:dyDescent="0.25"/>
    <row r="153" hidden="1" x14ac:dyDescent="0.25"/>
    <row r="154" hidden="1" x14ac:dyDescent="0.25"/>
    <row r="155" hidden="1" x14ac:dyDescent="0.25"/>
    <row r="156" hidden="1" x14ac:dyDescent="0.25"/>
    <row r="157" hidden="1" x14ac:dyDescent="0.25"/>
    <row r="158" hidden="1" x14ac:dyDescent="0.25"/>
    <row r="159" hidden="1" x14ac:dyDescent="0.25"/>
    <row r="160" hidden="1" x14ac:dyDescent="0.25"/>
    <row r="161" hidden="1" x14ac:dyDescent="0.25"/>
    <row r="162" hidden="1" x14ac:dyDescent="0.25"/>
    <row r="163" hidden="1" x14ac:dyDescent="0.25"/>
    <row r="164" hidden="1" x14ac:dyDescent="0.25"/>
    <row r="165" hidden="1" x14ac:dyDescent="0.25"/>
    <row r="166" hidden="1" x14ac:dyDescent="0.25"/>
    <row r="167" hidden="1" x14ac:dyDescent="0.25"/>
    <row r="168" hidden="1" x14ac:dyDescent="0.25"/>
    <row r="169" hidden="1" x14ac:dyDescent="0.25"/>
    <row r="170" hidden="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row r="202" hidden="1" x14ac:dyDescent="0.25"/>
    <row r="203" hidden="1" x14ac:dyDescent="0.25"/>
    <row r="204" hidden="1" x14ac:dyDescent="0.25"/>
    <row r="205" hidden="1" x14ac:dyDescent="0.25"/>
    <row r="206" hidden="1" x14ac:dyDescent="0.25"/>
    <row r="207" hidden="1" x14ac:dyDescent="0.25"/>
    <row r="208" hidden="1" x14ac:dyDescent="0.25"/>
    <row r="209" hidden="1" x14ac:dyDescent="0.25"/>
    <row r="210" hidden="1" x14ac:dyDescent="0.25"/>
    <row r="211" hidden="1" x14ac:dyDescent="0.25"/>
    <row r="212" hidden="1" x14ac:dyDescent="0.25"/>
    <row r="213" hidden="1" x14ac:dyDescent="0.25"/>
    <row r="214" hidden="1" x14ac:dyDescent="0.25"/>
    <row r="215" hidden="1" x14ac:dyDescent="0.25"/>
    <row r="216" hidden="1" x14ac:dyDescent="0.25"/>
    <row r="217" hidden="1" x14ac:dyDescent="0.25"/>
    <row r="218" hidden="1" x14ac:dyDescent="0.25"/>
    <row r="219" hidden="1" x14ac:dyDescent="0.25"/>
    <row r="220" hidden="1" x14ac:dyDescent="0.25"/>
    <row r="221" hidden="1" x14ac:dyDescent="0.25"/>
    <row r="222" hidden="1" x14ac:dyDescent="0.25"/>
    <row r="223" hidden="1" x14ac:dyDescent="0.25"/>
    <row r="224" hidden="1" x14ac:dyDescent="0.25"/>
    <row r="225" hidden="1" x14ac:dyDescent="0.25"/>
    <row r="226" hidden="1" x14ac:dyDescent="0.25"/>
    <row r="227" hidden="1" x14ac:dyDescent="0.25"/>
    <row r="228" hidden="1" x14ac:dyDescent="0.25"/>
    <row r="229" hidden="1" x14ac:dyDescent="0.25"/>
    <row r="230" hidden="1" x14ac:dyDescent="0.25"/>
    <row r="231" hidden="1" x14ac:dyDescent="0.25"/>
    <row r="232" hidden="1" x14ac:dyDescent="0.25"/>
    <row r="233" hidden="1" x14ac:dyDescent="0.25"/>
    <row r="234" hidden="1" x14ac:dyDescent="0.25"/>
    <row r="235" hidden="1" x14ac:dyDescent="0.25"/>
    <row r="236" hidden="1" x14ac:dyDescent="0.25"/>
    <row r="237" hidden="1" x14ac:dyDescent="0.25"/>
    <row r="238" hidden="1" x14ac:dyDescent="0.25"/>
    <row r="239" hidden="1" x14ac:dyDescent="0.25"/>
    <row r="240" hidden="1" x14ac:dyDescent="0.25"/>
    <row r="241" hidden="1" x14ac:dyDescent="0.25"/>
    <row r="242" hidden="1" x14ac:dyDescent="0.25"/>
    <row r="243" hidden="1" x14ac:dyDescent="0.25"/>
    <row r="244" hidden="1" x14ac:dyDescent="0.25"/>
    <row r="245" hidden="1" x14ac:dyDescent="0.25"/>
    <row r="246" hidden="1" x14ac:dyDescent="0.25"/>
    <row r="247" hidden="1" x14ac:dyDescent="0.25"/>
    <row r="248" hidden="1" x14ac:dyDescent="0.25"/>
    <row r="249" hidden="1" x14ac:dyDescent="0.25"/>
    <row r="250" hidden="1" x14ac:dyDescent="0.25"/>
    <row r="251" hidden="1" x14ac:dyDescent="0.25"/>
    <row r="252" hidden="1" x14ac:dyDescent="0.25"/>
    <row r="253" hidden="1" x14ac:dyDescent="0.25"/>
    <row r="254" hidden="1" x14ac:dyDescent="0.25"/>
    <row r="255" hidden="1" x14ac:dyDescent="0.25"/>
    <row r="256" hidden="1" x14ac:dyDescent="0.25"/>
    <row r="257" hidden="1" x14ac:dyDescent="0.25"/>
    <row r="258" hidden="1" x14ac:dyDescent="0.25"/>
    <row r="259" hidden="1" x14ac:dyDescent="0.25"/>
    <row r="260" hidden="1" x14ac:dyDescent="0.25"/>
    <row r="261" hidden="1" x14ac:dyDescent="0.25"/>
    <row r="262" hidden="1" x14ac:dyDescent="0.25"/>
    <row r="263" hidden="1" x14ac:dyDescent="0.25"/>
    <row r="264" hidden="1" x14ac:dyDescent="0.25"/>
    <row r="265" hidden="1" x14ac:dyDescent="0.25"/>
    <row r="266" hidden="1" x14ac:dyDescent="0.25"/>
    <row r="267" hidden="1" x14ac:dyDescent="0.25"/>
    <row r="268" hidden="1" x14ac:dyDescent="0.25"/>
    <row r="269" hidden="1" x14ac:dyDescent="0.25"/>
    <row r="270" hidden="1" x14ac:dyDescent="0.25"/>
    <row r="271" hidden="1" x14ac:dyDescent="0.25"/>
    <row r="272" hidden="1" x14ac:dyDescent="0.25"/>
    <row r="273" hidden="1" x14ac:dyDescent="0.25"/>
    <row r="274" hidden="1" x14ac:dyDescent="0.25"/>
    <row r="275" hidden="1" x14ac:dyDescent="0.25"/>
    <row r="276" hidden="1" x14ac:dyDescent="0.25"/>
    <row r="277" hidden="1" x14ac:dyDescent="0.25"/>
    <row r="278" hidden="1" x14ac:dyDescent="0.25"/>
    <row r="279" hidden="1" x14ac:dyDescent="0.25"/>
    <row r="280" hidden="1" x14ac:dyDescent="0.25"/>
    <row r="281" hidden="1" x14ac:dyDescent="0.25"/>
    <row r="282" hidden="1" x14ac:dyDescent="0.25"/>
    <row r="283" hidden="1" x14ac:dyDescent="0.25"/>
    <row r="284" hidden="1" x14ac:dyDescent="0.25"/>
    <row r="285" hidden="1" x14ac:dyDescent="0.25"/>
    <row r="286" hidden="1" x14ac:dyDescent="0.25"/>
    <row r="287" hidden="1" x14ac:dyDescent="0.25"/>
    <row r="288" hidden="1" x14ac:dyDescent="0.25"/>
    <row r="289" hidden="1" x14ac:dyDescent="0.25"/>
    <row r="290" hidden="1" x14ac:dyDescent="0.25"/>
    <row r="291" hidden="1" x14ac:dyDescent="0.25"/>
    <row r="292" hidden="1" x14ac:dyDescent="0.25"/>
    <row r="293" hidden="1" x14ac:dyDescent="0.25"/>
    <row r="294" hidden="1" x14ac:dyDescent="0.25"/>
    <row r="295" hidden="1" x14ac:dyDescent="0.25"/>
    <row r="296" hidden="1" x14ac:dyDescent="0.25"/>
    <row r="297" hidden="1" x14ac:dyDescent="0.25"/>
    <row r="298" hidden="1" x14ac:dyDescent="0.25"/>
    <row r="299" hidden="1" x14ac:dyDescent="0.25"/>
    <row r="300" hidden="1" x14ac:dyDescent="0.25"/>
    <row r="301" hidden="1" x14ac:dyDescent="0.25"/>
    <row r="302" hidden="1" x14ac:dyDescent="0.25"/>
    <row r="303" hidden="1" x14ac:dyDescent="0.25"/>
    <row r="304" hidden="1" x14ac:dyDescent="0.25"/>
    <row r="305" hidden="1" x14ac:dyDescent="0.25"/>
    <row r="306" hidden="1" x14ac:dyDescent="0.25"/>
    <row r="307" hidden="1" x14ac:dyDescent="0.25"/>
    <row r="308" hidden="1" x14ac:dyDescent="0.25"/>
    <row r="309" hidden="1" x14ac:dyDescent="0.25"/>
    <row r="310" hidden="1" x14ac:dyDescent="0.25"/>
    <row r="311" hidden="1" x14ac:dyDescent="0.25"/>
    <row r="312" hidden="1" x14ac:dyDescent="0.25"/>
    <row r="313" hidden="1" x14ac:dyDescent="0.25"/>
    <row r="314" hidden="1" x14ac:dyDescent="0.25"/>
    <row r="315" hidden="1" x14ac:dyDescent="0.25"/>
    <row r="316" hidden="1" x14ac:dyDescent="0.25"/>
    <row r="317" hidden="1" x14ac:dyDescent="0.25"/>
    <row r="318" hidden="1" x14ac:dyDescent="0.25"/>
    <row r="319" hidden="1" x14ac:dyDescent="0.25"/>
    <row r="320" hidden="1" x14ac:dyDescent="0.25"/>
    <row r="321" hidden="1" x14ac:dyDescent="0.25"/>
    <row r="322" hidden="1" x14ac:dyDescent="0.25"/>
    <row r="323" hidden="1" x14ac:dyDescent="0.25"/>
    <row r="324" hidden="1" x14ac:dyDescent="0.25"/>
    <row r="325" hidden="1" x14ac:dyDescent="0.25"/>
    <row r="326" hidden="1" x14ac:dyDescent="0.25"/>
    <row r="327" hidden="1" x14ac:dyDescent="0.25"/>
    <row r="328" hidden="1" x14ac:dyDescent="0.25"/>
    <row r="329" hidden="1" x14ac:dyDescent="0.25"/>
    <row r="330" hidden="1" x14ac:dyDescent="0.25"/>
    <row r="331" hidden="1" x14ac:dyDescent="0.25"/>
    <row r="332" hidden="1" x14ac:dyDescent="0.25"/>
    <row r="333" hidden="1" x14ac:dyDescent="0.25"/>
    <row r="334" hidden="1" x14ac:dyDescent="0.25"/>
    <row r="335" hidden="1" x14ac:dyDescent="0.25"/>
    <row r="336" hidden="1" x14ac:dyDescent="0.25"/>
    <row r="337" hidden="1" x14ac:dyDescent="0.25"/>
    <row r="338" hidden="1" x14ac:dyDescent="0.25"/>
    <row r="339" hidden="1" x14ac:dyDescent="0.25"/>
    <row r="340" hidden="1" x14ac:dyDescent="0.25"/>
    <row r="341" hidden="1" x14ac:dyDescent="0.25"/>
    <row r="342" hidden="1" x14ac:dyDescent="0.25"/>
    <row r="343" hidden="1" x14ac:dyDescent="0.25"/>
    <row r="344" hidden="1" x14ac:dyDescent="0.25"/>
    <row r="345" hidden="1" x14ac:dyDescent="0.25"/>
    <row r="346" hidden="1" x14ac:dyDescent="0.25"/>
    <row r="347" hidden="1" x14ac:dyDescent="0.25"/>
    <row r="348" hidden="1" x14ac:dyDescent="0.25"/>
    <row r="349" hidden="1" x14ac:dyDescent="0.25"/>
    <row r="350" hidden="1" x14ac:dyDescent="0.25"/>
    <row r="351" hidden="1" x14ac:dyDescent="0.25"/>
    <row r="352" hidden="1" x14ac:dyDescent="0.25"/>
    <row r="353" hidden="1" x14ac:dyDescent="0.25"/>
    <row r="354" hidden="1" x14ac:dyDescent="0.25"/>
    <row r="355" hidden="1" x14ac:dyDescent="0.25"/>
    <row r="356" hidden="1" x14ac:dyDescent="0.25"/>
    <row r="357" hidden="1" x14ac:dyDescent="0.25"/>
    <row r="358" hidden="1" x14ac:dyDescent="0.25"/>
    <row r="359" hidden="1" x14ac:dyDescent="0.25"/>
    <row r="360" hidden="1" x14ac:dyDescent="0.25"/>
    <row r="361" hidden="1" x14ac:dyDescent="0.25"/>
    <row r="362" hidden="1" x14ac:dyDescent="0.25"/>
    <row r="363" hidden="1" x14ac:dyDescent="0.25"/>
    <row r="364" hidden="1" x14ac:dyDescent="0.25"/>
    <row r="365" hidden="1" x14ac:dyDescent="0.25"/>
    <row r="366" hidden="1" x14ac:dyDescent="0.25"/>
    <row r="367" hidden="1" x14ac:dyDescent="0.25"/>
    <row r="368" hidden="1" x14ac:dyDescent="0.25"/>
    <row r="369" hidden="1" x14ac:dyDescent="0.25"/>
    <row r="370" hidden="1" x14ac:dyDescent="0.25"/>
    <row r="371" hidden="1" x14ac:dyDescent="0.25"/>
    <row r="372" hidden="1" x14ac:dyDescent="0.25"/>
    <row r="373" hidden="1" x14ac:dyDescent="0.25"/>
    <row r="374" hidden="1" x14ac:dyDescent="0.25"/>
    <row r="375" hidden="1" x14ac:dyDescent="0.25"/>
    <row r="376" hidden="1" x14ac:dyDescent="0.25"/>
    <row r="377" hidden="1" x14ac:dyDescent="0.25"/>
    <row r="378" hidden="1" x14ac:dyDescent="0.25"/>
    <row r="379" hidden="1" x14ac:dyDescent="0.25"/>
    <row r="380" hidden="1" x14ac:dyDescent="0.25"/>
    <row r="381" hidden="1" x14ac:dyDescent="0.25"/>
    <row r="382" hidden="1" x14ac:dyDescent="0.25"/>
    <row r="383" hidden="1" x14ac:dyDescent="0.25"/>
    <row r="384" hidden="1" x14ac:dyDescent="0.25"/>
    <row r="385" hidden="1" x14ac:dyDescent="0.25"/>
    <row r="386" hidden="1" x14ac:dyDescent="0.25"/>
    <row r="387" hidden="1" x14ac:dyDescent="0.25"/>
    <row r="388" hidden="1" x14ac:dyDescent="0.25"/>
    <row r="389" hidden="1" x14ac:dyDescent="0.25"/>
    <row r="390" hidden="1" x14ac:dyDescent="0.25"/>
    <row r="391" hidden="1" x14ac:dyDescent="0.25"/>
    <row r="392" hidden="1" x14ac:dyDescent="0.25"/>
    <row r="393" hidden="1" x14ac:dyDescent="0.25"/>
    <row r="394" hidden="1" x14ac:dyDescent="0.25"/>
    <row r="395" hidden="1" x14ac:dyDescent="0.25"/>
    <row r="396" hidden="1" x14ac:dyDescent="0.25"/>
    <row r="397" hidden="1" x14ac:dyDescent="0.25"/>
    <row r="398" hidden="1" x14ac:dyDescent="0.25"/>
    <row r="399" hidden="1" x14ac:dyDescent="0.25"/>
    <row r="400" hidden="1" x14ac:dyDescent="0.25"/>
    <row r="401" hidden="1" x14ac:dyDescent="0.25"/>
    <row r="402" hidden="1" x14ac:dyDescent="0.25"/>
    <row r="403" hidden="1" x14ac:dyDescent="0.25"/>
    <row r="404" hidden="1" x14ac:dyDescent="0.25"/>
    <row r="405" hidden="1" x14ac:dyDescent="0.25"/>
    <row r="406" hidden="1" x14ac:dyDescent="0.25"/>
    <row r="407" hidden="1" x14ac:dyDescent="0.25"/>
    <row r="408" hidden="1" x14ac:dyDescent="0.25"/>
    <row r="409" hidden="1" x14ac:dyDescent="0.25"/>
    <row r="410" hidden="1" x14ac:dyDescent="0.25"/>
    <row r="411" hidden="1" x14ac:dyDescent="0.25"/>
    <row r="412" hidden="1" x14ac:dyDescent="0.25"/>
    <row r="413" hidden="1" x14ac:dyDescent="0.25"/>
    <row r="414" hidden="1" x14ac:dyDescent="0.25"/>
    <row r="415" hidden="1" x14ac:dyDescent="0.25"/>
    <row r="416" hidden="1" x14ac:dyDescent="0.25"/>
    <row r="417" hidden="1" x14ac:dyDescent="0.25"/>
    <row r="418" hidden="1" x14ac:dyDescent="0.25"/>
    <row r="419" hidden="1" x14ac:dyDescent="0.25"/>
    <row r="420" hidden="1" x14ac:dyDescent="0.25"/>
    <row r="421" hidden="1" x14ac:dyDescent="0.25"/>
    <row r="422" hidden="1" x14ac:dyDescent="0.25"/>
    <row r="423" hidden="1" x14ac:dyDescent="0.25"/>
    <row r="424" hidden="1" x14ac:dyDescent="0.25"/>
    <row r="425" hidden="1" x14ac:dyDescent="0.25"/>
    <row r="426" hidden="1" x14ac:dyDescent="0.25"/>
    <row r="427" hidden="1" x14ac:dyDescent="0.25"/>
    <row r="428" hidden="1" x14ac:dyDescent="0.25"/>
    <row r="429" hidden="1" x14ac:dyDescent="0.25"/>
    <row r="430" hidden="1" x14ac:dyDescent="0.25"/>
    <row r="431" hidden="1" x14ac:dyDescent="0.25"/>
    <row r="432" hidden="1" x14ac:dyDescent="0.25"/>
    <row r="433" hidden="1" x14ac:dyDescent="0.25"/>
    <row r="434" hidden="1" x14ac:dyDescent="0.25"/>
    <row r="435" hidden="1" x14ac:dyDescent="0.25"/>
    <row r="436" hidden="1" x14ac:dyDescent="0.25"/>
    <row r="437" hidden="1" x14ac:dyDescent="0.25"/>
    <row r="438" hidden="1" x14ac:dyDescent="0.25"/>
    <row r="439" hidden="1" x14ac:dyDescent="0.25"/>
    <row r="440" hidden="1" x14ac:dyDescent="0.25"/>
    <row r="441" hidden="1" x14ac:dyDescent="0.25"/>
    <row r="442" hidden="1" x14ac:dyDescent="0.25"/>
    <row r="443" hidden="1" x14ac:dyDescent="0.25"/>
    <row r="444" hidden="1" x14ac:dyDescent="0.25"/>
    <row r="445" hidden="1" x14ac:dyDescent="0.25"/>
    <row r="446" hidden="1" x14ac:dyDescent="0.25"/>
    <row r="447" hidden="1" x14ac:dyDescent="0.25"/>
    <row r="448" hidden="1" x14ac:dyDescent="0.25"/>
    <row r="449" hidden="1" x14ac:dyDescent="0.25"/>
    <row r="450" hidden="1" x14ac:dyDescent="0.25"/>
    <row r="451" hidden="1" x14ac:dyDescent="0.25"/>
    <row r="452" hidden="1" x14ac:dyDescent="0.25"/>
    <row r="453" hidden="1" x14ac:dyDescent="0.25"/>
    <row r="454" hidden="1" x14ac:dyDescent="0.25"/>
    <row r="455" hidden="1" x14ac:dyDescent="0.25"/>
    <row r="456" hidden="1" x14ac:dyDescent="0.25"/>
    <row r="457" hidden="1" x14ac:dyDescent="0.25"/>
    <row r="458" hidden="1" x14ac:dyDescent="0.25"/>
    <row r="459" hidden="1" x14ac:dyDescent="0.25"/>
    <row r="460" hidden="1" x14ac:dyDescent="0.25"/>
    <row r="461" hidden="1" x14ac:dyDescent="0.25"/>
    <row r="462" hidden="1" x14ac:dyDescent="0.25"/>
    <row r="463" hidden="1" x14ac:dyDescent="0.25"/>
    <row r="464" hidden="1" x14ac:dyDescent="0.25"/>
    <row r="465" hidden="1" x14ac:dyDescent="0.25"/>
    <row r="466" hidden="1" x14ac:dyDescent="0.25"/>
    <row r="467" hidden="1" x14ac:dyDescent="0.25"/>
    <row r="468" hidden="1" x14ac:dyDescent="0.25"/>
    <row r="469" hidden="1" x14ac:dyDescent="0.25"/>
    <row r="470" hidden="1" x14ac:dyDescent="0.25"/>
    <row r="471" hidden="1" x14ac:dyDescent="0.25"/>
    <row r="472" hidden="1" x14ac:dyDescent="0.25"/>
    <row r="473" hidden="1" x14ac:dyDescent="0.25"/>
    <row r="474" hidden="1" x14ac:dyDescent="0.25"/>
    <row r="475" hidden="1" x14ac:dyDescent="0.25"/>
    <row r="476" hidden="1" x14ac:dyDescent="0.25"/>
    <row r="477" hidden="1" x14ac:dyDescent="0.25"/>
    <row r="478" hidden="1" x14ac:dyDescent="0.25"/>
    <row r="479" hidden="1" x14ac:dyDescent="0.25"/>
    <row r="480" hidden="1" x14ac:dyDescent="0.25"/>
    <row r="481" hidden="1" x14ac:dyDescent="0.25"/>
    <row r="482" hidden="1" x14ac:dyDescent="0.25"/>
    <row r="483" hidden="1" x14ac:dyDescent="0.25"/>
    <row r="484" hidden="1" x14ac:dyDescent="0.25"/>
    <row r="485" hidden="1" x14ac:dyDescent="0.25"/>
    <row r="486" hidden="1" x14ac:dyDescent="0.25"/>
    <row r="487" hidden="1" x14ac:dyDescent="0.25"/>
    <row r="488" hidden="1" x14ac:dyDescent="0.25"/>
    <row r="489" hidden="1" x14ac:dyDescent="0.25"/>
    <row r="490" hidden="1" x14ac:dyDescent="0.25"/>
    <row r="491" hidden="1" x14ac:dyDescent="0.25"/>
    <row r="492" hidden="1" x14ac:dyDescent="0.25"/>
    <row r="493" hidden="1" x14ac:dyDescent="0.25"/>
    <row r="494" hidden="1" x14ac:dyDescent="0.25"/>
    <row r="495" hidden="1" x14ac:dyDescent="0.25"/>
    <row r="496" hidden="1" x14ac:dyDescent="0.25"/>
    <row r="497" hidden="1" x14ac:dyDescent="0.25"/>
    <row r="498" hidden="1" x14ac:dyDescent="0.25"/>
    <row r="499" hidden="1" x14ac:dyDescent="0.25"/>
    <row r="500" hidden="1" x14ac:dyDescent="0.25"/>
    <row r="501" hidden="1" x14ac:dyDescent="0.25"/>
    <row r="502" hidden="1" x14ac:dyDescent="0.25"/>
    <row r="503" hidden="1" x14ac:dyDescent="0.25"/>
    <row r="504" hidden="1" x14ac:dyDescent="0.25"/>
    <row r="505" hidden="1" x14ac:dyDescent="0.25"/>
    <row r="506" hidden="1" x14ac:dyDescent="0.25"/>
    <row r="507" hidden="1" x14ac:dyDescent="0.25"/>
    <row r="508" hidden="1" x14ac:dyDescent="0.25"/>
    <row r="509" hidden="1" x14ac:dyDescent="0.25"/>
    <row r="510" hidden="1" x14ac:dyDescent="0.25"/>
    <row r="511" hidden="1" x14ac:dyDescent="0.25"/>
    <row r="512" hidden="1" x14ac:dyDescent="0.25"/>
    <row r="513" hidden="1" x14ac:dyDescent="0.25"/>
    <row r="514" hidden="1" x14ac:dyDescent="0.25"/>
    <row r="515" hidden="1" x14ac:dyDescent="0.25"/>
    <row r="516" hidden="1" x14ac:dyDescent="0.25"/>
    <row r="517" hidden="1" x14ac:dyDescent="0.25"/>
    <row r="518" hidden="1" x14ac:dyDescent="0.25"/>
    <row r="519" hidden="1" x14ac:dyDescent="0.25"/>
    <row r="520" hidden="1" x14ac:dyDescent="0.25"/>
    <row r="521" hidden="1" x14ac:dyDescent="0.25"/>
    <row r="522" hidden="1" x14ac:dyDescent="0.25"/>
    <row r="523" hidden="1" x14ac:dyDescent="0.25"/>
    <row r="524" hidden="1" x14ac:dyDescent="0.25"/>
    <row r="525" hidden="1" x14ac:dyDescent="0.25"/>
    <row r="526" hidden="1" x14ac:dyDescent="0.25"/>
    <row r="527" hidden="1" x14ac:dyDescent="0.25"/>
    <row r="528" hidden="1" x14ac:dyDescent="0.25"/>
    <row r="529" hidden="1" x14ac:dyDescent="0.25"/>
    <row r="530" hidden="1" x14ac:dyDescent="0.25"/>
    <row r="531" hidden="1" x14ac:dyDescent="0.25"/>
    <row r="532" hidden="1" x14ac:dyDescent="0.25"/>
    <row r="533" hidden="1" x14ac:dyDescent="0.25"/>
    <row r="534" hidden="1" x14ac:dyDescent="0.25"/>
    <row r="535" hidden="1" x14ac:dyDescent="0.25"/>
    <row r="536" hidden="1" x14ac:dyDescent="0.25"/>
    <row r="537" hidden="1" x14ac:dyDescent="0.25"/>
    <row r="538" hidden="1" x14ac:dyDescent="0.25"/>
    <row r="539" hidden="1" x14ac:dyDescent="0.25"/>
    <row r="540" hidden="1" x14ac:dyDescent="0.25"/>
    <row r="541" hidden="1" x14ac:dyDescent="0.25"/>
    <row r="542" hidden="1" x14ac:dyDescent="0.25"/>
    <row r="543" hidden="1" x14ac:dyDescent="0.25"/>
    <row r="544" hidden="1" x14ac:dyDescent="0.25"/>
    <row r="545" hidden="1" x14ac:dyDescent="0.25"/>
    <row r="546" hidden="1" x14ac:dyDescent="0.25"/>
    <row r="547" hidden="1" x14ac:dyDescent="0.25"/>
    <row r="548" hidden="1" x14ac:dyDescent="0.25"/>
    <row r="549" hidden="1" x14ac:dyDescent="0.25"/>
    <row r="550" hidden="1" x14ac:dyDescent="0.25"/>
    <row r="551" hidden="1" x14ac:dyDescent="0.25"/>
    <row r="552" hidden="1" x14ac:dyDescent="0.25"/>
    <row r="553" hidden="1" x14ac:dyDescent="0.25"/>
    <row r="554" hidden="1" x14ac:dyDescent="0.25"/>
    <row r="555" hidden="1" x14ac:dyDescent="0.25"/>
    <row r="556" hidden="1" x14ac:dyDescent="0.25"/>
    <row r="557" hidden="1" x14ac:dyDescent="0.25"/>
    <row r="558" hidden="1" x14ac:dyDescent="0.25"/>
    <row r="559" hidden="1" x14ac:dyDescent="0.25"/>
    <row r="560" hidden="1" x14ac:dyDescent="0.25"/>
    <row r="561" hidden="1" x14ac:dyDescent="0.25"/>
    <row r="562" hidden="1" x14ac:dyDescent="0.25"/>
    <row r="563" hidden="1" x14ac:dyDescent="0.25"/>
    <row r="564" hidden="1" x14ac:dyDescent="0.25"/>
    <row r="565" hidden="1" x14ac:dyDescent="0.25"/>
    <row r="566" hidden="1" x14ac:dyDescent="0.25"/>
    <row r="567" hidden="1" x14ac:dyDescent="0.25"/>
    <row r="568" hidden="1" x14ac:dyDescent="0.25"/>
    <row r="569" hidden="1" x14ac:dyDescent="0.25"/>
    <row r="570" hidden="1" x14ac:dyDescent="0.25"/>
    <row r="571" hidden="1" x14ac:dyDescent="0.25"/>
    <row r="572" hidden="1" x14ac:dyDescent="0.25"/>
    <row r="573" hidden="1" x14ac:dyDescent="0.25"/>
    <row r="574" hidden="1" x14ac:dyDescent="0.25"/>
    <row r="575" hidden="1" x14ac:dyDescent="0.25"/>
    <row r="576" hidden="1" x14ac:dyDescent="0.25"/>
    <row r="577" hidden="1" x14ac:dyDescent="0.25"/>
    <row r="578" hidden="1" x14ac:dyDescent="0.25"/>
    <row r="579" hidden="1" x14ac:dyDescent="0.25"/>
    <row r="580" hidden="1" x14ac:dyDescent="0.25"/>
    <row r="581" hidden="1" x14ac:dyDescent="0.25"/>
    <row r="582" hidden="1" x14ac:dyDescent="0.25"/>
    <row r="583" hidden="1" x14ac:dyDescent="0.25"/>
    <row r="584" hidden="1" x14ac:dyDescent="0.25"/>
    <row r="585" hidden="1" x14ac:dyDescent="0.25"/>
    <row r="586" hidden="1" x14ac:dyDescent="0.25"/>
    <row r="587" hidden="1" x14ac:dyDescent="0.25"/>
    <row r="588" hidden="1" x14ac:dyDescent="0.25"/>
    <row r="589" hidden="1" x14ac:dyDescent="0.25"/>
    <row r="590" hidden="1" x14ac:dyDescent="0.25"/>
    <row r="591" hidden="1" x14ac:dyDescent="0.25"/>
    <row r="592" hidden="1" x14ac:dyDescent="0.25"/>
    <row r="593" hidden="1" x14ac:dyDescent="0.25"/>
    <row r="594" hidden="1" x14ac:dyDescent="0.25"/>
    <row r="595" hidden="1" x14ac:dyDescent="0.25"/>
    <row r="596" hidden="1" x14ac:dyDescent="0.25"/>
    <row r="597" hidden="1" x14ac:dyDescent="0.25"/>
    <row r="598" hidden="1" x14ac:dyDescent="0.25"/>
    <row r="599" hidden="1" x14ac:dyDescent="0.25"/>
    <row r="600" hidden="1" x14ac:dyDescent="0.25"/>
    <row r="601" hidden="1" x14ac:dyDescent="0.25"/>
    <row r="602" hidden="1" x14ac:dyDescent="0.25"/>
    <row r="603" hidden="1" x14ac:dyDescent="0.25"/>
    <row r="604" hidden="1" x14ac:dyDescent="0.25"/>
    <row r="605" hidden="1" x14ac:dyDescent="0.25"/>
    <row r="606" hidden="1" x14ac:dyDescent="0.25"/>
    <row r="607" hidden="1" x14ac:dyDescent="0.25"/>
    <row r="608" hidden="1" x14ac:dyDescent="0.25"/>
    <row r="609" hidden="1" x14ac:dyDescent="0.25"/>
    <row r="610" hidden="1" x14ac:dyDescent="0.25"/>
    <row r="611" hidden="1" x14ac:dyDescent="0.25"/>
    <row r="612" hidden="1" x14ac:dyDescent="0.25"/>
    <row r="613" hidden="1" x14ac:dyDescent="0.25"/>
    <row r="614" hidden="1" x14ac:dyDescent="0.25"/>
    <row r="615" hidden="1" x14ac:dyDescent="0.25"/>
    <row r="616" hidden="1" x14ac:dyDescent="0.25"/>
    <row r="617" hidden="1" x14ac:dyDescent="0.25"/>
    <row r="618" hidden="1" x14ac:dyDescent="0.25"/>
    <row r="619" hidden="1" x14ac:dyDescent="0.25"/>
    <row r="620" hidden="1" x14ac:dyDescent="0.25"/>
    <row r="621" hidden="1" x14ac:dyDescent="0.25"/>
    <row r="622" hidden="1" x14ac:dyDescent="0.25"/>
    <row r="623" hidden="1" x14ac:dyDescent="0.25"/>
    <row r="624" hidden="1" x14ac:dyDescent="0.25"/>
    <row r="625" hidden="1" x14ac:dyDescent="0.25"/>
    <row r="626" hidden="1" x14ac:dyDescent="0.25"/>
    <row r="627" hidden="1" x14ac:dyDescent="0.25"/>
    <row r="628" hidden="1" x14ac:dyDescent="0.25"/>
    <row r="629" hidden="1" x14ac:dyDescent="0.25"/>
    <row r="630" hidden="1" x14ac:dyDescent="0.25"/>
    <row r="631" hidden="1" x14ac:dyDescent="0.25"/>
    <row r="632" hidden="1" x14ac:dyDescent="0.25"/>
    <row r="633" hidden="1" x14ac:dyDescent="0.25"/>
    <row r="634" hidden="1" x14ac:dyDescent="0.25"/>
    <row r="635" hidden="1" x14ac:dyDescent="0.25"/>
    <row r="636" hidden="1" x14ac:dyDescent="0.25"/>
    <row r="637" hidden="1" x14ac:dyDescent="0.25"/>
    <row r="638" hidden="1" x14ac:dyDescent="0.25"/>
    <row r="639" hidden="1" x14ac:dyDescent="0.25"/>
    <row r="640" hidden="1" x14ac:dyDescent="0.25"/>
    <row r="641" hidden="1" x14ac:dyDescent="0.25"/>
    <row r="642" hidden="1" x14ac:dyDescent="0.25"/>
    <row r="643" hidden="1" x14ac:dyDescent="0.25"/>
    <row r="644" hidden="1" x14ac:dyDescent="0.25"/>
    <row r="645" hidden="1" x14ac:dyDescent="0.25"/>
    <row r="646" hidden="1" x14ac:dyDescent="0.25"/>
    <row r="647" hidden="1" x14ac:dyDescent="0.25"/>
    <row r="648" hidden="1" x14ac:dyDescent="0.25"/>
    <row r="649" hidden="1" x14ac:dyDescent="0.25"/>
    <row r="650" hidden="1" x14ac:dyDescent="0.25"/>
    <row r="651" hidden="1" x14ac:dyDescent="0.25"/>
    <row r="652" hidden="1" x14ac:dyDescent="0.25"/>
    <row r="653" hidden="1" x14ac:dyDescent="0.25"/>
    <row r="654" hidden="1" x14ac:dyDescent="0.25"/>
    <row r="655" hidden="1" x14ac:dyDescent="0.25"/>
    <row r="656" hidden="1" x14ac:dyDescent="0.25"/>
    <row r="657" hidden="1" x14ac:dyDescent="0.25"/>
    <row r="658" hidden="1" x14ac:dyDescent="0.25"/>
    <row r="659" hidden="1" x14ac:dyDescent="0.25"/>
    <row r="660" hidden="1" x14ac:dyDescent="0.25"/>
    <row r="661" hidden="1" x14ac:dyDescent="0.25"/>
    <row r="662" hidden="1" x14ac:dyDescent="0.25"/>
    <row r="663" hidden="1" x14ac:dyDescent="0.25"/>
    <row r="664" hidden="1" x14ac:dyDescent="0.25"/>
    <row r="665" hidden="1" x14ac:dyDescent="0.25"/>
    <row r="666" hidden="1" x14ac:dyDescent="0.25"/>
    <row r="667" hidden="1" x14ac:dyDescent="0.25"/>
    <row r="668" hidden="1" x14ac:dyDescent="0.25"/>
    <row r="669" hidden="1" x14ac:dyDescent="0.25"/>
    <row r="670" hidden="1" x14ac:dyDescent="0.25"/>
    <row r="671" hidden="1" x14ac:dyDescent="0.25"/>
    <row r="672" hidden="1" x14ac:dyDescent="0.25"/>
    <row r="673" hidden="1" x14ac:dyDescent="0.25"/>
    <row r="674" hidden="1" x14ac:dyDescent="0.25"/>
    <row r="675" hidden="1" x14ac:dyDescent="0.25"/>
    <row r="676" hidden="1" x14ac:dyDescent="0.25"/>
    <row r="677" hidden="1" x14ac:dyDescent="0.25"/>
    <row r="678" hidden="1" x14ac:dyDescent="0.25"/>
    <row r="679" hidden="1" x14ac:dyDescent="0.25"/>
    <row r="680" hidden="1" x14ac:dyDescent="0.25"/>
    <row r="681" hidden="1" x14ac:dyDescent="0.25"/>
    <row r="682" hidden="1" x14ac:dyDescent="0.25"/>
    <row r="683" hidden="1" x14ac:dyDescent="0.25"/>
    <row r="684" hidden="1" x14ac:dyDescent="0.25"/>
    <row r="685" hidden="1" x14ac:dyDescent="0.25"/>
    <row r="686" hidden="1" x14ac:dyDescent="0.25"/>
    <row r="687" hidden="1" x14ac:dyDescent="0.25"/>
    <row r="688" hidden="1" x14ac:dyDescent="0.25"/>
    <row r="689" hidden="1" x14ac:dyDescent="0.25"/>
    <row r="690" hidden="1" x14ac:dyDescent="0.25"/>
    <row r="691" hidden="1" x14ac:dyDescent="0.25"/>
    <row r="692" hidden="1" x14ac:dyDescent="0.25"/>
    <row r="693" hidden="1" x14ac:dyDescent="0.25"/>
    <row r="694" hidden="1" x14ac:dyDescent="0.25"/>
    <row r="695" hidden="1" x14ac:dyDescent="0.25"/>
    <row r="696" hidden="1" x14ac:dyDescent="0.25"/>
    <row r="697" hidden="1" x14ac:dyDescent="0.25"/>
    <row r="698" hidden="1" x14ac:dyDescent="0.25"/>
    <row r="699" hidden="1" x14ac:dyDescent="0.25"/>
    <row r="700" hidden="1" x14ac:dyDescent="0.25"/>
    <row r="701" hidden="1" x14ac:dyDescent="0.25"/>
    <row r="702" hidden="1" x14ac:dyDescent="0.25"/>
    <row r="703" hidden="1" x14ac:dyDescent="0.25"/>
    <row r="704" hidden="1" x14ac:dyDescent="0.25"/>
    <row r="705" hidden="1" x14ac:dyDescent="0.25"/>
    <row r="706" hidden="1" x14ac:dyDescent="0.25"/>
    <row r="707" hidden="1" x14ac:dyDescent="0.25"/>
    <row r="708" hidden="1" x14ac:dyDescent="0.25"/>
    <row r="709" hidden="1" x14ac:dyDescent="0.25"/>
    <row r="710" hidden="1" x14ac:dyDescent="0.25"/>
    <row r="711" hidden="1" x14ac:dyDescent="0.25"/>
    <row r="712" hidden="1" x14ac:dyDescent="0.25"/>
    <row r="713" hidden="1" x14ac:dyDescent="0.25"/>
    <row r="714" hidden="1" x14ac:dyDescent="0.25"/>
    <row r="715" hidden="1" x14ac:dyDescent="0.25"/>
    <row r="716" hidden="1" x14ac:dyDescent="0.25"/>
    <row r="717" hidden="1" x14ac:dyDescent="0.25"/>
    <row r="718" hidden="1" x14ac:dyDescent="0.25"/>
    <row r="719" hidden="1" x14ac:dyDescent="0.25"/>
    <row r="720" hidden="1" x14ac:dyDescent="0.25"/>
    <row r="721" hidden="1" x14ac:dyDescent="0.25"/>
    <row r="722" hidden="1" x14ac:dyDescent="0.25"/>
    <row r="723" hidden="1" x14ac:dyDescent="0.25"/>
    <row r="724" hidden="1" x14ac:dyDescent="0.25"/>
    <row r="725" hidden="1" x14ac:dyDescent="0.25"/>
    <row r="726" hidden="1" x14ac:dyDescent="0.25"/>
    <row r="727" hidden="1" x14ac:dyDescent="0.25"/>
    <row r="728" hidden="1" x14ac:dyDescent="0.25"/>
    <row r="729" hidden="1" x14ac:dyDescent="0.25"/>
    <row r="730" hidden="1" x14ac:dyDescent="0.25"/>
    <row r="731" hidden="1" x14ac:dyDescent="0.25"/>
    <row r="732" hidden="1" x14ac:dyDescent="0.25"/>
    <row r="733" hidden="1" x14ac:dyDescent="0.25"/>
    <row r="734" hidden="1" x14ac:dyDescent="0.25"/>
    <row r="735" hidden="1" x14ac:dyDescent="0.25"/>
    <row r="736" hidden="1" x14ac:dyDescent="0.25"/>
    <row r="737" hidden="1" x14ac:dyDescent="0.25"/>
    <row r="738" hidden="1" x14ac:dyDescent="0.25"/>
    <row r="739" hidden="1" x14ac:dyDescent="0.25"/>
    <row r="740" hidden="1" x14ac:dyDescent="0.25"/>
    <row r="741" hidden="1" x14ac:dyDescent="0.25"/>
    <row r="742" hidden="1" x14ac:dyDescent="0.25"/>
    <row r="743" hidden="1" x14ac:dyDescent="0.25"/>
    <row r="744" hidden="1" x14ac:dyDescent="0.25"/>
    <row r="745" hidden="1" x14ac:dyDescent="0.25"/>
    <row r="746" hidden="1" x14ac:dyDescent="0.25"/>
    <row r="747" hidden="1" x14ac:dyDescent="0.25"/>
    <row r="748" hidden="1" x14ac:dyDescent="0.25"/>
    <row r="749" hidden="1" x14ac:dyDescent="0.25"/>
    <row r="750" hidden="1" x14ac:dyDescent="0.25"/>
    <row r="751" hidden="1" x14ac:dyDescent="0.25"/>
    <row r="752" hidden="1" x14ac:dyDescent="0.25"/>
    <row r="753" hidden="1" x14ac:dyDescent="0.25"/>
    <row r="754" hidden="1" x14ac:dyDescent="0.25"/>
    <row r="755" hidden="1" x14ac:dyDescent="0.25"/>
    <row r="756" hidden="1" x14ac:dyDescent="0.25"/>
    <row r="757" hidden="1" x14ac:dyDescent="0.25"/>
    <row r="758" hidden="1" x14ac:dyDescent="0.25"/>
    <row r="759" hidden="1" x14ac:dyDescent="0.25"/>
    <row r="760" hidden="1" x14ac:dyDescent="0.25"/>
    <row r="761" hidden="1" x14ac:dyDescent="0.25"/>
    <row r="762" hidden="1" x14ac:dyDescent="0.25"/>
    <row r="763" hidden="1" x14ac:dyDescent="0.25"/>
    <row r="764" hidden="1" x14ac:dyDescent="0.25"/>
    <row r="765" hidden="1" x14ac:dyDescent="0.25"/>
    <row r="766" hidden="1" x14ac:dyDescent="0.25"/>
    <row r="767" hidden="1" x14ac:dyDescent="0.25"/>
    <row r="768" hidden="1" x14ac:dyDescent="0.25"/>
    <row r="769" hidden="1" x14ac:dyDescent="0.25"/>
    <row r="770" hidden="1" x14ac:dyDescent="0.25"/>
    <row r="771" hidden="1" x14ac:dyDescent="0.25"/>
    <row r="772" hidden="1" x14ac:dyDescent="0.25"/>
    <row r="773" hidden="1" x14ac:dyDescent="0.25"/>
    <row r="774" hidden="1" x14ac:dyDescent="0.25"/>
    <row r="775" hidden="1" x14ac:dyDescent="0.25"/>
    <row r="776" hidden="1" x14ac:dyDescent="0.25"/>
    <row r="777" hidden="1" x14ac:dyDescent="0.25"/>
    <row r="778" hidden="1" x14ac:dyDescent="0.25"/>
    <row r="779" hidden="1" x14ac:dyDescent="0.25"/>
    <row r="780" hidden="1" x14ac:dyDescent="0.25"/>
    <row r="781" hidden="1" x14ac:dyDescent="0.25"/>
    <row r="782" hidden="1" x14ac:dyDescent="0.25"/>
    <row r="783" hidden="1" x14ac:dyDescent="0.25"/>
    <row r="784" hidden="1" x14ac:dyDescent="0.25"/>
    <row r="785" hidden="1" x14ac:dyDescent="0.25"/>
    <row r="786" hidden="1" x14ac:dyDescent="0.25"/>
    <row r="787" hidden="1" x14ac:dyDescent="0.25"/>
    <row r="788" hidden="1" x14ac:dyDescent="0.25"/>
    <row r="789" hidden="1" x14ac:dyDescent="0.25"/>
    <row r="790" hidden="1" x14ac:dyDescent="0.25"/>
    <row r="791" hidden="1" x14ac:dyDescent="0.25"/>
    <row r="792" hidden="1" x14ac:dyDescent="0.25"/>
    <row r="793" hidden="1" x14ac:dyDescent="0.25"/>
    <row r="794" hidden="1" x14ac:dyDescent="0.25"/>
    <row r="795" hidden="1" x14ac:dyDescent="0.25"/>
    <row r="796" hidden="1" x14ac:dyDescent="0.25"/>
    <row r="797" hidden="1" x14ac:dyDescent="0.25"/>
    <row r="798" hidden="1" x14ac:dyDescent="0.25"/>
    <row r="799" hidden="1" x14ac:dyDescent="0.25"/>
    <row r="800" hidden="1" x14ac:dyDescent="0.25"/>
    <row r="801" hidden="1" x14ac:dyDescent="0.25"/>
    <row r="802" hidden="1" x14ac:dyDescent="0.25"/>
    <row r="803" hidden="1" x14ac:dyDescent="0.25"/>
    <row r="804" hidden="1" x14ac:dyDescent="0.25"/>
    <row r="805" hidden="1" x14ac:dyDescent="0.25"/>
    <row r="806" hidden="1" x14ac:dyDescent="0.25"/>
    <row r="807" hidden="1" x14ac:dyDescent="0.25"/>
    <row r="808" hidden="1" x14ac:dyDescent="0.25"/>
    <row r="809" hidden="1" x14ac:dyDescent="0.25"/>
    <row r="810" hidden="1" x14ac:dyDescent="0.25"/>
    <row r="811" hidden="1" x14ac:dyDescent="0.25"/>
    <row r="812" hidden="1" x14ac:dyDescent="0.25"/>
    <row r="813" hidden="1" x14ac:dyDescent="0.25"/>
    <row r="814" hidden="1" x14ac:dyDescent="0.25"/>
    <row r="815" hidden="1" x14ac:dyDescent="0.25"/>
    <row r="816" hidden="1" x14ac:dyDescent="0.25"/>
    <row r="817" hidden="1" x14ac:dyDescent="0.25"/>
    <row r="818" hidden="1" x14ac:dyDescent="0.25"/>
    <row r="819" hidden="1" x14ac:dyDescent="0.25"/>
    <row r="820" hidden="1" x14ac:dyDescent="0.25"/>
    <row r="821" hidden="1" x14ac:dyDescent="0.25"/>
    <row r="822" hidden="1" x14ac:dyDescent="0.25"/>
    <row r="823" hidden="1" x14ac:dyDescent="0.25"/>
    <row r="824" hidden="1" x14ac:dyDescent="0.25"/>
    <row r="825" hidden="1" x14ac:dyDescent="0.25"/>
    <row r="826" hidden="1" x14ac:dyDescent="0.25"/>
    <row r="827" hidden="1" x14ac:dyDescent="0.25"/>
    <row r="828" hidden="1" x14ac:dyDescent="0.25"/>
    <row r="829" hidden="1" x14ac:dyDescent="0.25"/>
    <row r="830" hidden="1" x14ac:dyDescent="0.25"/>
    <row r="831" hidden="1" x14ac:dyDescent="0.25"/>
    <row r="832" hidden="1" x14ac:dyDescent="0.25"/>
    <row r="833" hidden="1" x14ac:dyDescent="0.25"/>
    <row r="834" hidden="1" x14ac:dyDescent="0.25"/>
    <row r="835" hidden="1" x14ac:dyDescent="0.25"/>
    <row r="836" hidden="1" x14ac:dyDescent="0.25"/>
    <row r="837" hidden="1" x14ac:dyDescent="0.25"/>
    <row r="838" hidden="1" x14ac:dyDescent="0.25"/>
    <row r="839" hidden="1" x14ac:dyDescent="0.25"/>
    <row r="840" hidden="1" x14ac:dyDescent="0.25"/>
    <row r="841" hidden="1" x14ac:dyDescent="0.25"/>
    <row r="842" hidden="1" x14ac:dyDescent="0.25"/>
    <row r="843" hidden="1" x14ac:dyDescent="0.25"/>
    <row r="844" hidden="1" x14ac:dyDescent="0.25"/>
    <row r="845" hidden="1" x14ac:dyDescent="0.25"/>
    <row r="846" hidden="1" x14ac:dyDescent="0.25"/>
    <row r="847" hidden="1" x14ac:dyDescent="0.25"/>
    <row r="848" hidden="1" x14ac:dyDescent="0.25"/>
    <row r="849" hidden="1" x14ac:dyDescent="0.25"/>
    <row r="850" hidden="1" x14ac:dyDescent="0.25"/>
    <row r="851" hidden="1" x14ac:dyDescent="0.25"/>
    <row r="852" hidden="1" x14ac:dyDescent="0.25"/>
    <row r="853" hidden="1" x14ac:dyDescent="0.25"/>
    <row r="854" hidden="1" x14ac:dyDescent="0.25"/>
    <row r="855" hidden="1" x14ac:dyDescent="0.25"/>
    <row r="856" hidden="1" x14ac:dyDescent="0.25"/>
    <row r="857" hidden="1" x14ac:dyDescent="0.25"/>
    <row r="858" hidden="1" x14ac:dyDescent="0.25"/>
    <row r="859" hidden="1" x14ac:dyDescent="0.25"/>
    <row r="860" hidden="1" x14ac:dyDescent="0.25"/>
    <row r="861" hidden="1" x14ac:dyDescent="0.25"/>
    <row r="862" hidden="1" x14ac:dyDescent="0.25"/>
    <row r="863" hidden="1" x14ac:dyDescent="0.25"/>
    <row r="864" hidden="1" x14ac:dyDescent="0.25"/>
    <row r="865" hidden="1" x14ac:dyDescent="0.25"/>
    <row r="866" hidden="1" x14ac:dyDescent="0.25"/>
    <row r="867" hidden="1" x14ac:dyDescent="0.25"/>
    <row r="868" hidden="1" x14ac:dyDescent="0.25"/>
    <row r="869" hidden="1" x14ac:dyDescent="0.25"/>
    <row r="870" hidden="1" x14ac:dyDescent="0.25"/>
    <row r="871" hidden="1" x14ac:dyDescent="0.25"/>
    <row r="872" hidden="1" x14ac:dyDescent="0.25"/>
    <row r="873" hidden="1" x14ac:dyDescent="0.25"/>
    <row r="874" hidden="1" x14ac:dyDescent="0.25"/>
    <row r="875" hidden="1" x14ac:dyDescent="0.25"/>
    <row r="876" hidden="1" x14ac:dyDescent="0.25"/>
    <row r="877" hidden="1" x14ac:dyDescent="0.25"/>
    <row r="878" hidden="1" x14ac:dyDescent="0.25"/>
    <row r="879" hidden="1" x14ac:dyDescent="0.25"/>
    <row r="880" hidden="1" x14ac:dyDescent="0.25"/>
    <row r="881" hidden="1" x14ac:dyDescent="0.25"/>
    <row r="882" hidden="1" x14ac:dyDescent="0.25"/>
    <row r="883" hidden="1" x14ac:dyDescent="0.25"/>
    <row r="884" hidden="1" x14ac:dyDescent="0.25"/>
    <row r="885" hidden="1" x14ac:dyDescent="0.25"/>
    <row r="886" hidden="1" x14ac:dyDescent="0.25"/>
    <row r="887" hidden="1" x14ac:dyDescent="0.25"/>
    <row r="888" hidden="1" x14ac:dyDescent="0.25"/>
    <row r="889" hidden="1" x14ac:dyDescent="0.25"/>
    <row r="890" hidden="1" x14ac:dyDescent="0.25"/>
    <row r="891" hidden="1" x14ac:dyDescent="0.25"/>
    <row r="892" hidden="1" x14ac:dyDescent="0.25"/>
    <row r="893" hidden="1" x14ac:dyDescent="0.25"/>
    <row r="894" hidden="1" x14ac:dyDescent="0.25"/>
    <row r="895" hidden="1" x14ac:dyDescent="0.25"/>
    <row r="896" hidden="1" x14ac:dyDescent="0.25"/>
    <row r="897" hidden="1" x14ac:dyDescent="0.25"/>
    <row r="898" hidden="1" x14ac:dyDescent="0.25"/>
    <row r="899" hidden="1" x14ac:dyDescent="0.25"/>
    <row r="900" hidden="1" x14ac:dyDescent="0.25"/>
    <row r="901" hidden="1" x14ac:dyDescent="0.25"/>
    <row r="902" hidden="1" x14ac:dyDescent="0.25"/>
    <row r="903" hidden="1" x14ac:dyDescent="0.25"/>
    <row r="904" hidden="1" x14ac:dyDescent="0.25"/>
    <row r="905" hidden="1" x14ac:dyDescent="0.25"/>
    <row r="906" hidden="1" x14ac:dyDescent="0.25"/>
    <row r="907" hidden="1" x14ac:dyDescent="0.25"/>
    <row r="908" hidden="1" x14ac:dyDescent="0.25"/>
    <row r="909" hidden="1" x14ac:dyDescent="0.25"/>
    <row r="910" hidden="1" x14ac:dyDescent="0.25"/>
    <row r="911" hidden="1" x14ac:dyDescent="0.25"/>
    <row r="912" hidden="1" x14ac:dyDescent="0.25"/>
    <row r="913" hidden="1" x14ac:dyDescent="0.25"/>
    <row r="914" hidden="1" x14ac:dyDescent="0.25"/>
    <row r="915" hidden="1" x14ac:dyDescent="0.25"/>
    <row r="916" hidden="1" x14ac:dyDescent="0.25"/>
    <row r="917" hidden="1" x14ac:dyDescent="0.25"/>
    <row r="918" hidden="1" x14ac:dyDescent="0.25"/>
    <row r="919" hidden="1" x14ac:dyDescent="0.25"/>
    <row r="920" hidden="1" x14ac:dyDescent="0.25"/>
    <row r="921" hidden="1" x14ac:dyDescent="0.25"/>
    <row r="922" hidden="1" x14ac:dyDescent="0.25"/>
    <row r="923" hidden="1" x14ac:dyDescent="0.25"/>
    <row r="924" hidden="1" x14ac:dyDescent="0.25"/>
    <row r="925" hidden="1" x14ac:dyDescent="0.25"/>
    <row r="926" hidden="1" x14ac:dyDescent="0.25"/>
    <row r="927" hidden="1" x14ac:dyDescent="0.25"/>
    <row r="928" hidden="1" x14ac:dyDescent="0.25"/>
    <row r="929" hidden="1" x14ac:dyDescent="0.25"/>
    <row r="930" hidden="1" x14ac:dyDescent="0.25"/>
    <row r="931" hidden="1" x14ac:dyDescent="0.25"/>
    <row r="932" hidden="1" x14ac:dyDescent="0.25"/>
    <row r="933" hidden="1" x14ac:dyDescent="0.25"/>
    <row r="934" hidden="1" x14ac:dyDescent="0.25"/>
    <row r="935" hidden="1" x14ac:dyDescent="0.25"/>
    <row r="936" hidden="1" x14ac:dyDescent="0.25"/>
    <row r="937" hidden="1" x14ac:dyDescent="0.25"/>
    <row r="938" hidden="1" x14ac:dyDescent="0.25"/>
    <row r="939" hidden="1" x14ac:dyDescent="0.25"/>
    <row r="940" hidden="1" x14ac:dyDescent="0.25"/>
    <row r="941" hidden="1" x14ac:dyDescent="0.25"/>
    <row r="942" hidden="1" x14ac:dyDescent="0.25"/>
    <row r="943" hidden="1" x14ac:dyDescent="0.25"/>
    <row r="944" hidden="1" x14ac:dyDescent="0.25"/>
    <row r="945" hidden="1" x14ac:dyDescent="0.25"/>
    <row r="946" hidden="1" x14ac:dyDescent="0.25"/>
    <row r="947" hidden="1" x14ac:dyDescent="0.25"/>
    <row r="948" hidden="1" x14ac:dyDescent="0.25"/>
    <row r="949" hidden="1" x14ac:dyDescent="0.25"/>
    <row r="950" hidden="1" x14ac:dyDescent="0.25"/>
    <row r="951" hidden="1" x14ac:dyDescent="0.25"/>
    <row r="952" hidden="1" x14ac:dyDescent="0.25"/>
    <row r="953" hidden="1" x14ac:dyDescent="0.25"/>
    <row r="954" hidden="1" x14ac:dyDescent="0.25"/>
    <row r="955" hidden="1" x14ac:dyDescent="0.25"/>
    <row r="956" hidden="1" x14ac:dyDescent="0.25"/>
    <row r="957" hidden="1" x14ac:dyDescent="0.25"/>
    <row r="958" hidden="1" x14ac:dyDescent="0.25"/>
    <row r="959" hidden="1" x14ac:dyDescent="0.25"/>
    <row r="960" hidden="1" x14ac:dyDescent="0.25"/>
    <row r="961" hidden="1" x14ac:dyDescent="0.25"/>
    <row r="962" hidden="1" x14ac:dyDescent="0.25"/>
    <row r="963" hidden="1" x14ac:dyDescent="0.25"/>
    <row r="964" hidden="1" x14ac:dyDescent="0.25"/>
    <row r="965" hidden="1" x14ac:dyDescent="0.25"/>
    <row r="966" hidden="1" x14ac:dyDescent="0.25"/>
    <row r="967" hidden="1" x14ac:dyDescent="0.25"/>
    <row r="968" hidden="1" x14ac:dyDescent="0.25"/>
    <row r="969" hidden="1" x14ac:dyDescent="0.25"/>
    <row r="970" hidden="1" x14ac:dyDescent="0.25"/>
    <row r="971" hidden="1" x14ac:dyDescent="0.25"/>
    <row r="972" hidden="1" x14ac:dyDescent="0.25"/>
    <row r="973" hidden="1" x14ac:dyDescent="0.25"/>
    <row r="974" hidden="1" x14ac:dyDescent="0.25"/>
    <row r="975" hidden="1" x14ac:dyDescent="0.25"/>
    <row r="976" hidden="1" x14ac:dyDescent="0.25"/>
    <row r="977" hidden="1" x14ac:dyDescent="0.25"/>
    <row r="978" hidden="1" x14ac:dyDescent="0.25"/>
    <row r="979" hidden="1" x14ac:dyDescent="0.25"/>
    <row r="980" hidden="1" x14ac:dyDescent="0.25"/>
    <row r="981" hidden="1" x14ac:dyDescent="0.25"/>
    <row r="982" hidden="1" x14ac:dyDescent="0.25"/>
    <row r="983" hidden="1" x14ac:dyDescent="0.25"/>
    <row r="984" hidden="1" x14ac:dyDescent="0.25"/>
    <row r="985" hidden="1" x14ac:dyDescent="0.25"/>
    <row r="986" hidden="1" x14ac:dyDescent="0.25"/>
    <row r="987" hidden="1" x14ac:dyDescent="0.25"/>
    <row r="988" hidden="1" x14ac:dyDescent="0.25"/>
    <row r="989" hidden="1" x14ac:dyDescent="0.25"/>
    <row r="990" hidden="1" x14ac:dyDescent="0.25"/>
    <row r="991" hidden="1" x14ac:dyDescent="0.25"/>
    <row r="992" hidden="1" x14ac:dyDescent="0.25"/>
    <row r="993" hidden="1" x14ac:dyDescent="0.25"/>
    <row r="994" hidden="1" x14ac:dyDescent="0.25"/>
    <row r="995" hidden="1" x14ac:dyDescent="0.25"/>
    <row r="996" hidden="1" x14ac:dyDescent="0.25"/>
    <row r="997" hidden="1" x14ac:dyDescent="0.25"/>
    <row r="998" hidden="1" x14ac:dyDescent="0.25"/>
    <row r="999" hidden="1" x14ac:dyDescent="0.25"/>
    <row r="1000" hidden="1" x14ac:dyDescent="0.25"/>
    <row r="1001" hidden="1" x14ac:dyDescent="0.25"/>
    <row r="1002" hidden="1" x14ac:dyDescent="0.25"/>
    <row r="1003" hidden="1" x14ac:dyDescent="0.25"/>
    <row r="1004" hidden="1" x14ac:dyDescent="0.25"/>
    <row r="1005" hidden="1" x14ac:dyDescent="0.25"/>
    <row r="1006" hidden="1" x14ac:dyDescent="0.25"/>
    <row r="1007" hidden="1" x14ac:dyDescent="0.25"/>
    <row r="1008" hidden="1" x14ac:dyDescent="0.25"/>
    <row r="1009" hidden="1" x14ac:dyDescent="0.25"/>
    <row r="1010" hidden="1" x14ac:dyDescent="0.25"/>
    <row r="1011" hidden="1" x14ac:dyDescent="0.25"/>
    <row r="1012" hidden="1" x14ac:dyDescent="0.25"/>
    <row r="1013" hidden="1" x14ac:dyDescent="0.25"/>
    <row r="1014" hidden="1" x14ac:dyDescent="0.25"/>
    <row r="1015" hidden="1" x14ac:dyDescent="0.25"/>
    <row r="1016" hidden="1" x14ac:dyDescent="0.25"/>
    <row r="1017" hidden="1" x14ac:dyDescent="0.25"/>
    <row r="1018" hidden="1" x14ac:dyDescent="0.25"/>
    <row r="1019" hidden="1" x14ac:dyDescent="0.25"/>
    <row r="1020" hidden="1" x14ac:dyDescent="0.25"/>
    <row r="1021" hidden="1" x14ac:dyDescent="0.25"/>
    <row r="1022" hidden="1" x14ac:dyDescent="0.25"/>
    <row r="1023" hidden="1" x14ac:dyDescent="0.25"/>
    <row r="1024" hidden="1" x14ac:dyDescent="0.25"/>
    <row r="1025" hidden="1" x14ac:dyDescent="0.25"/>
    <row r="1026" hidden="1" x14ac:dyDescent="0.25"/>
    <row r="1027" hidden="1" x14ac:dyDescent="0.25"/>
    <row r="1028" hidden="1" x14ac:dyDescent="0.25"/>
    <row r="1029" hidden="1" x14ac:dyDescent="0.25"/>
    <row r="1030" hidden="1" x14ac:dyDescent="0.25"/>
    <row r="1031" hidden="1" x14ac:dyDescent="0.25"/>
    <row r="1032" hidden="1" x14ac:dyDescent="0.25"/>
    <row r="1033" hidden="1" x14ac:dyDescent="0.25"/>
    <row r="1034" hidden="1" x14ac:dyDescent="0.25"/>
    <row r="1035" hidden="1" x14ac:dyDescent="0.25"/>
    <row r="1036" hidden="1" x14ac:dyDescent="0.25"/>
    <row r="1037" hidden="1" x14ac:dyDescent="0.25"/>
    <row r="1038" hidden="1" x14ac:dyDescent="0.25"/>
    <row r="1039" hidden="1" x14ac:dyDescent="0.25"/>
    <row r="1040" hidden="1" x14ac:dyDescent="0.25"/>
    <row r="1041" hidden="1" x14ac:dyDescent="0.25"/>
    <row r="1042" hidden="1" x14ac:dyDescent="0.25"/>
    <row r="1043" hidden="1" x14ac:dyDescent="0.25"/>
    <row r="1044" hidden="1" x14ac:dyDescent="0.25"/>
    <row r="1045" hidden="1" x14ac:dyDescent="0.25"/>
    <row r="1046" hidden="1" x14ac:dyDescent="0.25"/>
    <row r="1047" hidden="1" x14ac:dyDescent="0.25"/>
    <row r="1048" hidden="1" x14ac:dyDescent="0.25"/>
    <row r="1049" hidden="1" x14ac:dyDescent="0.25"/>
    <row r="1050" hidden="1" x14ac:dyDescent="0.25"/>
    <row r="1051" hidden="1" x14ac:dyDescent="0.25"/>
    <row r="1052" hidden="1" x14ac:dyDescent="0.25"/>
    <row r="1053" hidden="1" x14ac:dyDescent="0.25"/>
    <row r="1054" hidden="1" x14ac:dyDescent="0.25"/>
    <row r="1055" hidden="1" x14ac:dyDescent="0.25"/>
    <row r="1056" hidden="1" x14ac:dyDescent="0.25"/>
    <row r="1057" hidden="1" x14ac:dyDescent="0.25"/>
    <row r="1058" hidden="1" x14ac:dyDescent="0.25"/>
    <row r="1059" hidden="1" x14ac:dyDescent="0.25"/>
    <row r="1060" hidden="1" x14ac:dyDescent="0.25"/>
    <row r="1061" hidden="1" x14ac:dyDescent="0.25"/>
    <row r="1062" hidden="1" x14ac:dyDescent="0.25"/>
    <row r="1063" hidden="1" x14ac:dyDescent="0.25"/>
    <row r="1064" hidden="1" x14ac:dyDescent="0.25"/>
    <row r="1065" hidden="1" x14ac:dyDescent="0.25"/>
    <row r="1066" hidden="1" x14ac:dyDescent="0.25"/>
    <row r="1067" hidden="1" x14ac:dyDescent="0.25"/>
    <row r="1068" hidden="1" x14ac:dyDescent="0.25"/>
    <row r="1069" hidden="1" x14ac:dyDescent="0.25"/>
    <row r="1070" hidden="1" x14ac:dyDescent="0.25"/>
    <row r="1071" hidden="1" x14ac:dyDescent="0.25"/>
    <row r="1072" hidden="1" x14ac:dyDescent="0.25"/>
    <row r="1073" hidden="1" x14ac:dyDescent="0.25"/>
    <row r="1074" hidden="1" x14ac:dyDescent="0.25"/>
    <row r="1075" hidden="1" x14ac:dyDescent="0.25"/>
    <row r="1076" hidden="1" x14ac:dyDescent="0.25"/>
    <row r="1077" hidden="1" x14ac:dyDescent="0.25"/>
    <row r="1078" hidden="1" x14ac:dyDescent="0.25"/>
    <row r="1079" hidden="1" x14ac:dyDescent="0.25"/>
    <row r="1080" hidden="1" x14ac:dyDescent="0.25"/>
    <row r="1081" hidden="1" x14ac:dyDescent="0.25"/>
    <row r="1082" hidden="1" x14ac:dyDescent="0.25"/>
    <row r="1083" hidden="1" x14ac:dyDescent="0.25"/>
    <row r="1084" hidden="1" x14ac:dyDescent="0.25"/>
    <row r="1085" hidden="1" x14ac:dyDescent="0.25"/>
    <row r="1086" hidden="1" x14ac:dyDescent="0.25"/>
    <row r="1087" hidden="1" x14ac:dyDescent="0.25"/>
    <row r="1088" hidden="1" x14ac:dyDescent="0.25"/>
    <row r="1089" hidden="1" x14ac:dyDescent="0.25"/>
    <row r="1090" hidden="1" x14ac:dyDescent="0.25"/>
    <row r="1091" hidden="1" x14ac:dyDescent="0.25"/>
    <row r="1092" hidden="1" x14ac:dyDescent="0.25"/>
    <row r="1093" hidden="1" x14ac:dyDescent="0.25"/>
    <row r="1094" hidden="1" x14ac:dyDescent="0.25"/>
    <row r="1095" hidden="1" x14ac:dyDescent="0.25"/>
    <row r="1096" hidden="1" x14ac:dyDescent="0.25"/>
    <row r="1097" hidden="1" x14ac:dyDescent="0.25"/>
    <row r="1098" hidden="1" x14ac:dyDescent="0.25"/>
    <row r="1099" hidden="1" x14ac:dyDescent="0.25"/>
    <row r="1100" hidden="1" x14ac:dyDescent="0.25"/>
    <row r="1101" hidden="1" x14ac:dyDescent="0.25"/>
    <row r="1102" hidden="1" x14ac:dyDescent="0.25"/>
    <row r="1103" hidden="1" x14ac:dyDescent="0.25"/>
    <row r="1104" hidden="1" x14ac:dyDescent="0.25"/>
    <row r="1105" hidden="1" x14ac:dyDescent="0.25"/>
    <row r="1106" hidden="1" x14ac:dyDescent="0.25"/>
    <row r="1107" hidden="1" x14ac:dyDescent="0.25"/>
    <row r="1108" hidden="1" x14ac:dyDescent="0.25"/>
    <row r="1109" hidden="1" x14ac:dyDescent="0.25"/>
    <row r="1110" hidden="1" x14ac:dyDescent="0.25"/>
    <row r="1111" hidden="1" x14ac:dyDescent="0.25"/>
    <row r="1112" hidden="1" x14ac:dyDescent="0.25"/>
    <row r="1113" hidden="1" x14ac:dyDescent="0.25"/>
    <row r="1114" hidden="1" x14ac:dyDescent="0.25"/>
    <row r="1115" hidden="1" x14ac:dyDescent="0.25"/>
    <row r="1116" hidden="1" x14ac:dyDescent="0.25"/>
    <row r="1117" hidden="1" x14ac:dyDescent="0.25"/>
    <row r="1118" hidden="1" x14ac:dyDescent="0.25"/>
    <row r="1119" hidden="1" x14ac:dyDescent="0.25"/>
    <row r="1120" hidden="1" x14ac:dyDescent="0.25"/>
    <row r="1121" hidden="1" x14ac:dyDescent="0.25"/>
    <row r="1122" hidden="1" x14ac:dyDescent="0.25"/>
    <row r="1123" hidden="1" x14ac:dyDescent="0.25"/>
    <row r="1124" hidden="1" x14ac:dyDescent="0.25"/>
    <row r="1125" hidden="1" x14ac:dyDescent="0.25"/>
    <row r="1126" hidden="1" x14ac:dyDescent="0.25"/>
    <row r="1127" hidden="1" x14ac:dyDescent="0.25"/>
    <row r="1128" hidden="1" x14ac:dyDescent="0.25"/>
    <row r="1129" hidden="1" x14ac:dyDescent="0.25"/>
    <row r="1130" hidden="1" x14ac:dyDescent="0.25"/>
    <row r="1131" hidden="1" x14ac:dyDescent="0.25"/>
    <row r="1132" hidden="1" x14ac:dyDescent="0.25"/>
    <row r="1133" hidden="1" x14ac:dyDescent="0.25"/>
    <row r="1134" hidden="1" x14ac:dyDescent="0.25"/>
    <row r="1135" hidden="1" x14ac:dyDescent="0.25"/>
    <row r="1136" hidden="1" x14ac:dyDescent="0.25"/>
    <row r="1137" hidden="1" x14ac:dyDescent="0.25"/>
    <row r="1138" hidden="1" x14ac:dyDescent="0.25"/>
    <row r="1139" hidden="1" x14ac:dyDescent="0.25"/>
    <row r="1140" hidden="1" x14ac:dyDescent="0.25"/>
    <row r="1141" hidden="1" x14ac:dyDescent="0.25"/>
    <row r="1142" hidden="1" x14ac:dyDescent="0.25"/>
    <row r="1143" hidden="1" x14ac:dyDescent="0.25"/>
    <row r="1144" hidden="1" x14ac:dyDescent="0.25"/>
    <row r="1145" hidden="1" x14ac:dyDescent="0.25"/>
    <row r="1146" hidden="1" x14ac:dyDescent="0.25"/>
    <row r="1147" hidden="1" x14ac:dyDescent="0.25"/>
    <row r="1148" hidden="1" x14ac:dyDescent="0.25"/>
    <row r="1149" hidden="1" x14ac:dyDescent="0.25"/>
    <row r="1150" hidden="1" x14ac:dyDescent="0.25"/>
    <row r="1151" hidden="1" x14ac:dyDescent="0.25"/>
    <row r="1152" hidden="1" x14ac:dyDescent="0.25"/>
    <row r="1153" hidden="1" x14ac:dyDescent="0.25"/>
    <row r="1154" hidden="1" x14ac:dyDescent="0.25"/>
    <row r="1155" hidden="1" x14ac:dyDescent="0.25"/>
    <row r="1156" hidden="1" x14ac:dyDescent="0.25"/>
    <row r="1157" hidden="1" x14ac:dyDescent="0.25"/>
    <row r="1158" hidden="1" x14ac:dyDescent="0.25"/>
    <row r="1159" hidden="1" x14ac:dyDescent="0.25"/>
    <row r="1160" hidden="1" x14ac:dyDescent="0.25"/>
    <row r="1161" hidden="1" x14ac:dyDescent="0.25"/>
    <row r="1162" hidden="1" x14ac:dyDescent="0.25"/>
    <row r="1163" hidden="1" x14ac:dyDescent="0.25"/>
    <row r="1164" hidden="1" x14ac:dyDescent="0.25"/>
    <row r="1165" hidden="1" x14ac:dyDescent="0.25"/>
    <row r="1166" hidden="1" x14ac:dyDescent="0.25"/>
    <row r="1167" hidden="1" x14ac:dyDescent="0.25"/>
    <row r="1168" hidden="1" x14ac:dyDescent="0.25"/>
    <row r="1169" hidden="1" x14ac:dyDescent="0.25"/>
    <row r="1170" hidden="1" x14ac:dyDescent="0.25"/>
    <row r="1171" hidden="1" x14ac:dyDescent="0.25"/>
    <row r="1172" hidden="1" x14ac:dyDescent="0.25"/>
    <row r="1173" hidden="1" x14ac:dyDescent="0.25"/>
    <row r="1174" hidden="1" x14ac:dyDescent="0.25"/>
    <row r="1175" hidden="1" x14ac:dyDescent="0.25"/>
    <row r="1176" hidden="1" x14ac:dyDescent="0.25"/>
    <row r="1177" hidden="1" x14ac:dyDescent="0.25"/>
    <row r="1178" hidden="1" x14ac:dyDescent="0.25"/>
    <row r="1179" hidden="1" x14ac:dyDescent="0.25"/>
    <row r="1180" hidden="1" x14ac:dyDescent="0.25"/>
    <row r="1181" hidden="1" x14ac:dyDescent="0.25"/>
    <row r="1182" hidden="1" x14ac:dyDescent="0.25"/>
    <row r="1183" hidden="1" x14ac:dyDescent="0.25"/>
    <row r="1184" hidden="1" x14ac:dyDescent="0.25"/>
    <row r="1185" hidden="1" x14ac:dyDescent="0.25"/>
    <row r="1186" hidden="1" x14ac:dyDescent="0.25"/>
    <row r="1187" hidden="1" x14ac:dyDescent="0.25"/>
    <row r="1188" hidden="1" x14ac:dyDescent="0.25"/>
    <row r="1189" hidden="1" x14ac:dyDescent="0.25"/>
    <row r="1190" hidden="1" x14ac:dyDescent="0.25"/>
    <row r="1191" hidden="1" x14ac:dyDescent="0.25"/>
    <row r="1192" hidden="1" x14ac:dyDescent="0.25"/>
    <row r="1193" hidden="1" x14ac:dyDescent="0.25"/>
    <row r="1194" hidden="1" x14ac:dyDescent="0.25"/>
    <row r="1195" hidden="1" x14ac:dyDescent="0.25"/>
    <row r="1196" hidden="1" x14ac:dyDescent="0.25"/>
    <row r="1197" hidden="1" x14ac:dyDescent="0.25"/>
    <row r="1198" hidden="1" x14ac:dyDescent="0.25"/>
    <row r="1199" hidden="1" x14ac:dyDescent="0.25"/>
    <row r="1200" hidden="1" x14ac:dyDescent="0.25"/>
    <row r="1201" hidden="1" x14ac:dyDescent="0.25"/>
    <row r="1202" hidden="1" x14ac:dyDescent="0.25"/>
    <row r="1203" hidden="1" x14ac:dyDescent="0.25"/>
    <row r="1204" hidden="1" x14ac:dyDescent="0.25"/>
    <row r="1205" hidden="1" x14ac:dyDescent="0.25"/>
    <row r="1206" hidden="1" x14ac:dyDescent="0.25"/>
    <row r="1207" hidden="1" x14ac:dyDescent="0.25"/>
    <row r="1208" hidden="1" x14ac:dyDescent="0.25"/>
    <row r="1209" hidden="1" x14ac:dyDescent="0.25"/>
    <row r="1210" hidden="1" x14ac:dyDescent="0.25"/>
    <row r="1211" hidden="1" x14ac:dyDescent="0.25"/>
    <row r="1212" hidden="1" x14ac:dyDescent="0.25"/>
    <row r="1213" hidden="1" x14ac:dyDescent="0.25"/>
    <row r="1214" hidden="1" x14ac:dyDescent="0.25"/>
    <row r="1215" hidden="1" x14ac:dyDescent="0.25"/>
    <row r="1216" hidden="1" x14ac:dyDescent="0.25"/>
    <row r="1217" hidden="1" x14ac:dyDescent="0.25"/>
    <row r="1218" hidden="1" x14ac:dyDescent="0.25"/>
    <row r="1219" hidden="1" x14ac:dyDescent="0.25"/>
    <row r="1220" hidden="1" x14ac:dyDescent="0.25"/>
    <row r="1221" hidden="1" x14ac:dyDescent="0.25"/>
    <row r="1222" hidden="1" x14ac:dyDescent="0.25"/>
    <row r="1223" hidden="1" x14ac:dyDescent="0.25"/>
    <row r="1224" hidden="1" x14ac:dyDescent="0.25"/>
    <row r="1225" hidden="1" x14ac:dyDescent="0.25"/>
    <row r="1226" hidden="1" x14ac:dyDescent="0.25"/>
    <row r="1227" hidden="1" x14ac:dyDescent="0.25"/>
    <row r="1228" hidden="1" x14ac:dyDescent="0.25"/>
    <row r="1229" hidden="1" x14ac:dyDescent="0.25"/>
    <row r="1230" hidden="1" x14ac:dyDescent="0.25"/>
    <row r="1231" hidden="1" x14ac:dyDescent="0.25"/>
    <row r="1232" hidden="1" x14ac:dyDescent="0.25"/>
    <row r="1233" hidden="1" x14ac:dyDescent="0.25"/>
    <row r="1234" hidden="1" x14ac:dyDescent="0.25"/>
    <row r="1235" hidden="1" x14ac:dyDescent="0.25"/>
    <row r="1236" hidden="1" x14ac:dyDescent="0.25"/>
    <row r="1237" hidden="1" x14ac:dyDescent="0.25"/>
    <row r="1238" hidden="1" x14ac:dyDescent="0.25"/>
    <row r="1239" hidden="1" x14ac:dyDescent="0.25"/>
    <row r="1240" hidden="1" x14ac:dyDescent="0.25"/>
    <row r="1241" hidden="1" x14ac:dyDescent="0.25"/>
    <row r="1242" hidden="1" x14ac:dyDescent="0.25"/>
    <row r="1243" hidden="1" x14ac:dyDescent="0.25"/>
    <row r="1244" hidden="1" x14ac:dyDescent="0.25"/>
    <row r="1245" hidden="1" x14ac:dyDescent="0.25"/>
    <row r="1246" hidden="1" x14ac:dyDescent="0.25"/>
    <row r="1247" hidden="1" x14ac:dyDescent="0.25"/>
    <row r="1248" hidden="1" x14ac:dyDescent="0.25"/>
    <row r="1249" hidden="1" x14ac:dyDescent="0.25"/>
    <row r="1250" hidden="1" x14ac:dyDescent="0.25"/>
    <row r="1251" hidden="1" x14ac:dyDescent="0.25"/>
    <row r="1252" hidden="1" x14ac:dyDescent="0.25"/>
    <row r="1253" hidden="1" x14ac:dyDescent="0.25"/>
    <row r="1254" hidden="1" x14ac:dyDescent="0.25"/>
    <row r="1255" hidden="1" x14ac:dyDescent="0.25"/>
    <row r="1256" hidden="1" x14ac:dyDescent="0.25"/>
    <row r="1257" hidden="1" x14ac:dyDescent="0.25"/>
    <row r="1258" hidden="1" x14ac:dyDescent="0.25"/>
    <row r="1259" hidden="1" x14ac:dyDescent="0.25"/>
    <row r="1260" hidden="1" x14ac:dyDescent="0.25"/>
    <row r="1261" hidden="1" x14ac:dyDescent="0.25"/>
    <row r="1262" hidden="1" x14ac:dyDescent="0.25"/>
    <row r="1263" hidden="1" x14ac:dyDescent="0.25"/>
    <row r="1264" hidden="1" x14ac:dyDescent="0.25"/>
    <row r="1265" hidden="1" x14ac:dyDescent="0.25"/>
    <row r="1266" hidden="1" x14ac:dyDescent="0.25"/>
    <row r="1267" hidden="1" x14ac:dyDescent="0.25"/>
    <row r="1268" hidden="1" x14ac:dyDescent="0.25"/>
    <row r="1269" hidden="1" x14ac:dyDescent="0.25"/>
    <row r="1270" hidden="1" x14ac:dyDescent="0.25"/>
    <row r="1271" hidden="1" x14ac:dyDescent="0.25"/>
    <row r="1272" hidden="1" x14ac:dyDescent="0.25"/>
    <row r="1273" hidden="1" x14ac:dyDescent="0.25"/>
    <row r="1274" hidden="1" x14ac:dyDescent="0.25"/>
    <row r="1275" hidden="1" x14ac:dyDescent="0.25"/>
    <row r="1276" hidden="1" x14ac:dyDescent="0.25"/>
    <row r="1277" hidden="1" x14ac:dyDescent="0.25"/>
    <row r="1278" hidden="1" x14ac:dyDescent="0.25"/>
    <row r="1279" hidden="1" x14ac:dyDescent="0.25"/>
    <row r="1280" hidden="1" x14ac:dyDescent="0.25"/>
    <row r="1281" hidden="1" x14ac:dyDescent="0.25"/>
    <row r="1282" hidden="1" x14ac:dyDescent="0.25"/>
    <row r="1283" hidden="1" x14ac:dyDescent="0.25"/>
    <row r="1284" hidden="1" x14ac:dyDescent="0.25"/>
    <row r="1285" hidden="1" x14ac:dyDescent="0.25"/>
    <row r="1286" hidden="1" x14ac:dyDescent="0.25"/>
    <row r="1287" hidden="1" x14ac:dyDescent="0.25"/>
    <row r="1288" hidden="1" x14ac:dyDescent="0.25"/>
    <row r="1289" hidden="1" x14ac:dyDescent="0.25"/>
    <row r="1290" hidden="1" x14ac:dyDescent="0.25"/>
    <row r="1291" hidden="1" x14ac:dyDescent="0.25"/>
    <row r="1292" hidden="1" x14ac:dyDescent="0.25"/>
    <row r="1293" hidden="1" x14ac:dyDescent="0.25"/>
    <row r="1294" hidden="1" x14ac:dyDescent="0.25"/>
    <row r="1295" hidden="1" x14ac:dyDescent="0.25"/>
    <row r="1296" hidden="1" x14ac:dyDescent="0.25"/>
    <row r="1297" hidden="1" x14ac:dyDescent="0.25"/>
    <row r="1298" hidden="1" x14ac:dyDescent="0.25"/>
    <row r="1299" hidden="1" x14ac:dyDescent="0.25"/>
    <row r="1300" hidden="1" x14ac:dyDescent="0.25"/>
    <row r="1301" hidden="1" x14ac:dyDescent="0.25"/>
    <row r="1302" hidden="1" x14ac:dyDescent="0.25"/>
    <row r="1303" hidden="1" x14ac:dyDescent="0.25"/>
    <row r="1304" hidden="1" x14ac:dyDescent="0.25"/>
    <row r="1305" hidden="1" x14ac:dyDescent="0.25"/>
    <row r="1306" hidden="1" x14ac:dyDescent="0.25"/>
    <row r="1307" hidden="1" x14ac:dyDescent="0.25"/>
    <row r="1308" hidden="1" x14ac:dyDescent="0.25"/>
    <row r="1309" hidden="1" x14ac:dyDescent="0.25"/>
    <row r="1310" hidden="1" x14ac:dyDescent="0.25"/>
    <row r="1311" hidden="1" x14ac:dyDescent="0.25"/>
    <row r="1312" hidden="1" x14ac:dyDescent="0.25"/>
    <row r="1313" hidden="1" x14ac:dyDescent="0.25"/>
    <row r="1314" hidden="1" x14ac:dyDescent="0.25"/>
    <row r="1315" hidden="1" x14ac:dyDescent="0.25"/>
    <row r="1316" hidden="1" x14ac:dyDescent="0.25"/>
    <row r="1317" hidden="1" x14ac:dyDescent="0.25"/>
    <row r="1318" hidden="1" x14ac:dyDescent="0.25"/>
    <row r="1319" hidden="1" x14ac:dyDescent="0.25"/>
    <row r="1320" hidden="1" x14ac:dyDescent="0.25"/>
    <row r="1321" hidden="1" x14ac:dyDescent="0.25"/>
    <row r="1322" hidden="1" x14ac:dyDescent="0.25"/>
    <row r="1323" hidden="1" x14ac:dyDescent="0.25"/>
    <row r="1324" hidden="1" x14ac:dyDescent="0.25"/>
    <row r="1325" hidden="1" x14ac:dyDescent="0.25"/>
    <row r="1326" hidden="1" x14ac:dyDescent="0.25"/>
    <row r="1327" hidden="1" x14ac:dyDescent="0.25"/>
    <row r="1328" hidden="1" x14ac:dyDescent="0.25"/>
    <row r="1329" hidden="1" x14ac:dyDescent="0.25"/>
    <row r="1330" hidden="1" x14ac:dyDescent="0.25"/>
    <row r="1331" hidden="1" x14ac:dyDescent="0.25"/>
    <row r="1332" hidden="1" x14ac:dyDescent="0.25"/>
    <row r="1333" hidden="1" x14ac:dyDescent="0.25"/>
    <row r="1334" hidden="1" x14ac:dyDescent="0.25"/>
    <row r="1335" hidden="1" x14ac:dyDescent="0.25"/>
    <row r="1336" hidden="1" x14ac:dyDescent="0.25"/>
    <row r="1337" hidden="1" x14ac:dyDescent="0.25"/>
    <row r="1338" hidden="1" x14ac:dyDescent="0.25"/>
    <row r="1339" hidden="1" x14ac:dyDescent="0.25"/>
    <row r="1340" hidden="1" x14ac:dyDescent="0.25"/>
    <row r="1341" hidden="1" x14ac:dyDescent="0.25"/>
    <row r="1342" hidden="1" x14ac:dyDescent="0.25"/>
    <row r="1343" hidden="1" x14ac:dyDescent="0.25"/>
    <row r="1344" hidden="1" x14ac:dyDescent="0.25"/>
    <row r="1345" hidden="1" x14ac:dyDescent="0.25"/>
    <row r="1346" hidden="1" x14ac:dyDescent="0.25"/>
    <row r="1347" hidden="1" x14ac:dyDescent="0.25"/>
    <row r="1348" hidden="1" x14ac:dyDescent="0.25"/>
    <row r="1349" hidden="1" x14ac:dyDescent="0.25"/>
    <row r="1350" hidden="1" x14ac:dyDescent="0.25"/>
    <row r="1351" hidden="1" x14ac:dyDescent="0.25"/>
    <row r="1352" hidden="1" x14ac:dyDescent="0.25"/>
    <row r="1353" hidden="1" x14ac:dyDescent="0.25"/>
    <row r="1354" hidden="1" x14ac:dyDescent="0.25"/>
    <row r="1355" hidden="1" x14ac:dyDescent="0.25"/>
    <row r="1356" hidden="1" x14ac:dyDescent="0.25"/>
    <row r="1357" hidden="1" x14ac:dyDescent="0.25"/>
    <row r="1358" hidden="1" x14ac:dyDescent="0.25"/>
    <row r="1359" hidden="1" x14ac:dyDescent="0.25"/>
    <row r="1360" hidden="1" x14ac:dyDescent="0.25"/>
    <row r="1361" hidden="1" x14ac:dyDescent="0.25"/>
    <row r="1362" hidden="1" x14ac:dyDescent="0.25"/>
    <row r="1363" hidden="1" x14ac:dyDescent="0.25"/>
    <row r="1364" hidden="1" x14ac:dyDescent="0.25"/>
    <row r="1365" hidden="1" x14ac:dyDescent="0.25"/>
    <row r="1366" hidden="1" x14ac:dyDescent="0.25"/>
    <row r="1367" hidden="1" x14ac:dyDescent="0.25"/>
    <row r="1368" hidden="1" x14ac:dyDescent="0.25"/>
    <row r="1369" hidden="1" x14ac:dyDescent="0.25"/>
    <row r="1370" hidden="1" x14ac:dyDescent="0.25"/>
    <row r="1371" hidden="1" x14ac:dyDescent="0.25"/>
    <row r="1372" hidden="1" x14ac:dyDescent="0.25"/>
    <row r="1373" hidden="1" x14ac:dyDescent="0.25"/>
    <row r="1374" hidden="1" x14ac:dyDescent="0.25"/>
    <row r="1375" hidden="1" x14ac:dyDescent="0.25"/>
    <row r="1376" hidden="1" x14ac:dyDescent="0.25"/>
    <row r="1377" hidden="1" x14ac:dyDescent="0.25"/>
    <row r="1378" hidden="1" x14ac:dyDescent="0.25"/>
    <row r="1379" hidden="1" x14ac:dyDescent="0.25"/>
    <row r="1380" hidden="1" x14ac:dyDescent="0.25"/>
    <row r="1381" hidden="1" x14ac:dyDescent="0.25"/>
    <row r="1382" hidden="1" x14ac:dyDescent="0.25"/>
    <row r="1383" hidden="1" x14ac:dyDescent="0.25"/>
    <row r="1384" hidden="1" x14ac:dyDescent="0.25"/>
    <row r="1385" hidden="1" x14ac:dyDescent="0.25"/>
    <row r="1386" hidden="1" x14ac:dyDescent="0.25"/>
    <row r="1387" hidden="1" x14ac:dyDescent="0.25"/>
    <row r="1388" hidden="1" x14ac:dyDescent="0.25"/>
    <row r="1389" hidden="1" x14ac:dyDescent="0.25"/>
    <row r="1390" hidden="1" x14ac:dyDescent="0.25"/>
    <row r="1391" hidden="1" x14ac:dyDescent="0.25"/>
    <row r="1392" hidden="1" x14ac:dyDescent="0.25"/>
    <row r="1393" hidden="1" x14ac:dyDescent="0.25"/>
    <row r="1394" hidden="1" x14ac:dyDescent="0.25"/>
    <row r="1395" hidden="1" x14ac:dyDescent="0.25"/>
    <row r="1396" hidden="1" x14ac:dyDescent="0.25"/>
    <row r="1397" hidden="1" x14ac:dyDescent="0.25"/>
    <row r="1398" hidden="1" x14ac:dyDescent="0.25"/>
    <row r="1399" hidden="1" x14ac:dyDescent="0.25"/>
    <row r="1400" hidden="1" x14ac:dyDescent="0.25"/>
    <row r="1401" hidden="1" x14ac:dyDescent="0.25"/>
    <row r="1402" hidden="1" x14ac:dyDescent="0.25"/>
    <row r="1403" hidden="1" x14ac:dyDescent="0.25"/>
    <row r="1404" hidden="1" x14ac:dyDescent="0.25"/>
    <row r="1405" hidden="1" x14ac:dyDescent="0.25"/>
    <row r="1406" hidden="1" x14ac:dyDescent="0.25"/>
    <row r="1407" hidden="1" x14ac:dyDescent="0.25"/>
    <row r="1408" hidden="1" x14ac:dyDescent="0.25"/>
    <row r="1409" hidden="1" x14ac:dyDescent="0.25"/>
    <row r="1410" hidden="1" x14ac:dyDescent="0.25"/>
    <row r="1411" hidden="1" x14ac:dyDescent="0.25"/>
    <row r="1412" hidden="1" x14ac:dyDescent="0.25"/>
    <row r="1413" hidden="1" x14ac:dyDescent="0.25"/>
    <row r="1414" hidden="1" x14ac:dyDescent="0.25"/>
    <row r="1415" hidden="1" x14ac:dyDescent="0.25"/>
    <row r="1416" hidden="1" x14ac:dyDescent="0.25"/>
    <row r="1417" hidden="1" x14ac:dyDescent="0.25"/>
    <row r="1418" hidden="1" x14ac:dyDescent="0.25"/>
    <row r="1419" hidden="1" x14ac:dyDescent="0.25"/>
    <row r="1420" hidden="1" x14ac:dyDescent="0.25"/>
    <row r="1421" hidden="1" x14ac:dyDescent="0.25"/>
    <row r="1422" hidden="1" x14ac:dyDescent="0.25"/>
    <row r="1423" hidden="1" x14ac:dyDescent="0.25"/>
    <row r="1424" hidden="1" x14ac:dyDescent="0.25"/>
    <row r="1425" hidden="1" x14ac:dyDescent="0.25"/>
    <row r="1426" hidden="1" x14ac:dyDescent="0.25"/>
    <row r="1427" hidden="1" x14ac:dyDescent="0.25"/>
    <row r="1428" hidden="1" x14ac:dyDescent="0.25"/>
    <row r="1429" hidden="1" x14ac:dyDescent="0.25"/>
    <row r="1430" hidden="1" x14ac:dyDescent="0.25"/>
    <row r="1431" hidden="1" x14ac:dyDescent="0.25"/>
    <row r="1432" hidden="1" x14ac:dyDescent="0.25"/>
    <row r="1433" hidden="1" x14ac:dyDescent="0.25"/>
    <row r="1434" hidden="1" x14ac:dyDescent="0.25"/>
    <row r="1435" hidden="1" x14ac:dyDescent="0.25"/>
    <row r="1436" hidden="1" x14ac:dyDescent="0.25"/>
    <row r="1437" hidden="1" x14ac:dyDescent="0.25"/>
    <row r="1438" hidden="1" x14ac:dyDescent="0.25"/>
    <row r="1439" hidden="1" x14ac:dyDescent="0.25"/>
    <row r="1440" hidden="1" x14ac:dyDescent="0.25"/>
    <row r="1441" hidden="1" x14ac:dyDescent="0.25"/>
    <row r="1442" hidden="1" x14ac:dyDescent="0.25"/>
    <row r="1443" hidden="1" x14ac:dyDescent="0.25"/>
    <row r="1444" hidden="1" x14ac:dyDescent="0.25"/>
    <row r="1445" hidden="1" x14ac:dyDescent="0.25"/>
    <row r="1446" hidden="1" x14ac:dyDescent="0.25"/>
    <row r="1447" hidden="1" x14ac:dyDescent="0.25"/>
    <row r="1448" hidden="1" x14ac:dyDescent="0.25"/>
    <row r="1449" hidden="1" x14ac:dyDescent="0.25"/>
    <row r="1450" hidden="1" x14ac:dyDescent="0.25"/>
    <row r="1451" hidden="1" x14ac:dyDescent="0.25"/>
    <row r="1452" hidden="1" x14ac:dyDescent="0.25"/>
    <row r="1453" hidden="1" x14ac:dyDescent="0.25"/>
    <row r="1454" hidden="1" x14ac:dyDescent="0.25"/>
    <row r="1455" hidden="1" x14ac:dyDescent="0.25"/>
    <row r="1456" hidden="1" x14ac:dyDescent="0.25"/>
    <row r="1457" hidden="1" x14ac:dyDescent="0.25"/>
    <row r="1458" hidden="1" x14ac:dyDescent="0.25"/>
    <row r="1459" hidden="1" x14ac:dyDescent="0.25"/>
    <row r="1460" hidden="1" x14ac:dyDescent="0.25"/>
    <row r="1461" hidden="1" x14ac:dyDescent="0.25"/>
    <row r="1462" hidden="1" x14ac:dyDescent="0.25"/>
    <row r="1463" hidden="1" x14ac:dyDescent="0.25"/>
    <row r="1464" hidden="1" x14ac:dyDescent="0.25"/>
    <row r="1465" hidden="1" x14ac:dyDescent="0.25"/>
    <row r="1466" hidden="1" x14ac:dyDescent="0.25"/>
    <row r="1467" hidden="1" x14ac:dyDescent="0.25"/>
    <row r="1468" hidden="1" x14ac:dyDescent="0.25"/>
    <row r="1469" hidden="1" x14ac:dyDescent="0.25"/>
    <row r="1470" hidden="1" x14ac:dyDescent="0.25"/>
    <row r="1471" hidden="1" x14ac:dyDescent="0.25"/>
    <row r="1472" hidden="1" x14ac:dyDescent="0.25"/>
    <row r="1473" hidden="1" x14ac:dyDescent="0.25"/>
    <row r="1474" hidden="1" x14ac:dyDescent="0.25"/>
    <row r="1475" hidden="1" x14ac:dyDescent="0.25"/>
    <row r="1476" hidden="1" x14ac:dyDescent="0.25"/>
    <row r="1477" hidden="1" x14ac:dyDescent="0.25"/>
    <row r="1478" hidden="1" x14ac:dyDescent="0.25"/>
    <row r="1479" hidden="1" x14ac:dyDescent="0.25"/>
    <row r="1480" hidden="1" x14ac:dyDescent="0.25"/>
    <row r="1481" hidden="1" x14ac:dyDescent="0.25"/>
    <row r="1482" hidden="1" x14ac:dyDescent="0.25"/>
    <row r="1483" hidden="1" x14ac:dyDescent="0.25"/>
    <row r="1484" hidden="1" x14ac:dyDescent="0.25"/>
    <row r="1485" hidden="1" x14ac:dyDescent="0.25"/>
    <row r="1486" hidden="1" x14ac:dyDescent="0.25"/>
    <row r="1487" hidden="1" x14ac:dyDescent="0.25"/>
    <row r="1488" hidden="1" x14ac:dyDescent="0.25"/>
    <row r="1489" hidden="1" x14ac:dyDescent="0.25"/>
    <row r="1490" hidden="1" x14ac:dyDescent="0.25"/>
    <row r="1491" hidden="1" x14ac:dyDescent="0.25"/>
    <row r="1492" hidden="1" x14ac:dyDescent="0.25"/>
    <row r="1493" hidden="1" x14ac:dyDescent="0.25"/>
    <row r="1494" hidden="1" x14ac:dyDescent="0.25"/>
    <row r="1495" hidden="1" x14ac:dyDescent="0.25"/>
    <row r="1496" hidden="1" x14ac:dyDescent="0.25"/>
    <row r="1497" hidden="1" x14ac:dyDescent="0.25"/>
    <row r="1498" hidden="1" x14ac:dyDescent="0.25"/>
    <row r="1499" hidden="1" x14ac:dyDescent="0.25"/>
    <row r="1500" hidden="1" x14ac:dyDescent="0.25"/>
    <row r="1501" hidden="1" x14ac:dyDescent="0.25"/>
    <row r="1502" hidden="1" x14ac:dyDescent="0.25"/>
    <row r="1503" hidden="1" x14ac:dyDescent="0.25"/>
    <row r="1504" hidden="1" x14ac:dyDescent="0.25"/>
    <row r="1505" hidden="1" x14ac:dyDescent="0.25"/>
    <row r="1506" hidden="1" x14ac:dyDescent="0.25"/>
    <row r="1507" hidden="1" x14ac:dyDescent="0.25"/>
    <row r="1508" hidden="1" x14ac:dyDescent="0.25"/>
    <row r="1509" hidden="1" x14ac:dyDescent="0.25"/>
    <row r="1510" hidden="1" x14ac:dyDescent="0.25"/>
    <row r="1511" hidden="1" x14ac:dyDescent="0.25"/>
    <row r="1512" hidden="1" x14ac:dyDescent="0.25"/>
    <row r="1513" hidden="1" x14ac:dyDescent="0.25"/>
    <row r="1514" hidden="1" x14ac:dyDescent="0.25"/>
    <row r="1515" hidden="1" x14ac:dyDescent="0.25"/>
    <row r="1516" hidden="1" x14ac:dyDescent="0.25"/>
    <row r="1517" hidden="1" x14ac:dyDescent="0.25"/>
    <row r="1518" hidden="1" x14ac:dyDescent="0.25"/>
    <row r="1519" hidden="1" x14ac:dyDescent="0.25"/>
    <row r="1520" hidden="1" x14ac:dyDescent="0.25"/>
    <row r="1521" hidden="1" x14ac:dyDescent="0.25"/>
    <row r="1522" hidden="1" x14ac:dyDescent="0.25"/>
    <row r="1523" hidden="1" x14ac:dyDescent="0.25"/>
    <row r="1524" hidden="1" x14ac:dyDescent="0.25"/>
    <row r="1525" hidden="1" x14ac:dyDescent="0.25"/>
    <row r="1526" hidden="1" x14ac:dyDescent="0.25"/>
    <row r="1527" hidden="1" x14ac:dyDescent="0.25"/>
    <row r="1528" hidden="1" x14ac:dyDescent="0.25"/>
    <row r="1529" hidden="1" x14ac:dyDescent="0.25"/>
    <row r="1530" hidden="1" x14ac:dyDescent="0.25"/>
    <row r="1531" hidden="1" x14ac:dyDescent="0.25"/>
    <row r="1532" hidden="1" x14ac:dyDescent="0.25"/>
    <row r="1533" hidden="1" x14ac:dyDescent="0.25"/>
    <row r="1534" hidden="1" x14ac:dyDescent="0.25"/>
    <row r="1535" hidden="1" x14ac:dyDescent="0.25"/>
    <row r="1536" hidden="1" x14ac:dyDescent="0.25"/>
    <row r="1537" hidden="1" x14ac:dyDescent="0.25"/>
    <row r="1538" hidden="1" x14ac:dyDescent="0.25"/>
    <row r="1539" hidden="1" x14ac:dyDescent="0.25"/>
    <row r="1540" hidden="1" x14ac:dyDescent="0.25"/>
    <row r="1541" hidden="1" x14ac:dyDescent="0.25"/>
    <row r="1542" hidden="1" x14ac:dyDescent="0.25"/>
    <row r="1543" hidden="1" x14ac:dyDescent="0.25"/>
    <row r="1544" hidden="1" x14ac:dyDescent="0.25"/>
    <row r="1545" hidden="1" x14ac:dyDescent="0.25"/>
    <row r="1546" hidden="1" x14ac:dyDescent="0.25"/>
    <row r="1547" hidden="1" x14ac:dyDescent="0.25"/>
    <row r="1548" hidden="1" x14ac:dyDescent="0.25"/>
    <row r="1549" hidden="1" x14ac:dyDescent="0.25"/>
    <row r="1550" hidden="1" x14ac:dyDescent="0.25"/>
    <row r="1551" hidden="1" x14ac:dyDescent="0.25"/>
    <row r="1552" hidden="1" x14ac:dyDescent="0.25"/>
    <row r="1553" hidden="1" x14ac:dyDescent="0.25"/>
    <row r="1554" hidden="1" x14ac:dyDescent="0.25"/>
    <row r="1555" hidden="1" x14ac:dyDescent="0.25"/>
    <row r="1556" hidden="1" x14ac:dyDescent="0.25"/>
    <row r="1557" hidden="1" x14ac:dyDescent="0.25"/>
    <row r="1558" hidden="1" x14ac:dyDescent="0.25"/>
    <row r="1559" hidden="1" x14ac:dyDescent="0.25"/>
    <row r="1560" hidden="1" x14ac:dyDescent="0.25"/>
    <row r="1561" hidden="1" x14ac:dyDescent="0.25"/>
    <row r="1562" hidden="1" x14ac:dyDescent="0.25"/>
    <row r="1563" hidden="1" x14ac:dyDescent="0.25"/>
    <row r="1564" hidden="1" x14ac:dyDescent="0.25"/>
    <row r="1565" hidden="1" x14ac:dyDescent="0.25"/>
    <row r="1566" hidden="1" x14ac:dyDescent="0.25"/>
    <row r="1567" hidden="1" x14ac:dyDescent="0.25"/>
    <row r="1568" hidden="1" x14ac:dyDescent="0.25"/>
    <row r="1569" hidden="1" x14ac:dyDescent="0.25"/>
    <row r="1570" hidden="1" x14ac:dyDescent="0.25"/>
    <row r="1571" hidden="1" x14ac:dyDescent="0.25"/>
    <row r="1572" hidden="1" x14ac:dyDescent="0.25"/>
    <row r="1573" hidden="1" x14ac:dyDescent="0.25"/>
    <row r="1574" hidden="1" x14ac:dyDescent="0.25"/>
    <row r="1575" hidden="1" x14ac:dyDescent="0.25"/>
    <row r="1576" hidden="1" x14ac:dyDescent="0.25"/>
    <row r="1577" hidden="1" x14ac:dyDescent="0.25"/>
    <row r="1578" hidden="1" x14ac:dyDescent="0.25"/>
    <row r="1579" hidden="1" x14ac:dyDescent="0.25"/>
    <row r="1580" hidden="1" x14ac:dyDescent="0.25"/>
    <row r="1581" hidden="1" x14ac:dyDescent="0.25"/>
    <row r="1582" hidden="1" x14ac:dyDescent="0.25"/>
    <row r="1583" hidden="1" x14ac:dyDescent="0.25"/>
    <row r="1584" hidden="1" x14ac:dyDescent="0.25"/>
    <row r="1585" hidden="1" x14ac:dyDescent="0.25"/>
    <row r="1586" hidden="1" x14ac:dyDescent="0.25"/>
    <row r="1587" hidden="1" x14ac:dyDescent="0.25"/>
    <row r="1588" hidden="1" x14ac:dyDescent="0.25"/>
    <row r="1589" hidden="1" x14ac:dyDescent="0.25"/>
    <row r="1590" hidden="1" x14ac:dyDescent="0.25"/>
    <row r="1591" hidden="1" x14ac:dyDescent="0.25"/>
    <row r="1592" hidden="1" x14ac:dyDescent="0.25"/>
    <row r="1593" hidden="1" x14ac:dyDescent="0.25"/>
    <row r="1594" hidden="1" x14ac:dyDescent="0.25"/>
    <row r="1595" hidden="1" x14ac:dyDescent="0.25"/>
    <row r="1596" hidden="1" x14ac:dyDescent="0.25"/>
    <row r="1597" hidden="1" x14ac:dyDescent="0.25"/>
    <row r="1598" hidden="1" x14ac:dyDescent="0.25"/>
    <row r="1599" hidden="1" x14ac:dyDescent="0.25"/>
    <row r="1600" hidden="1" x14ac:dyDescent="0.25"/>
    <row r="1601" hidden="1" x14ac:dyDescent="0.25"/>
    <row r="1602" hidden="1" x14ac:dyDescent="0.25"/>
    <row r="1603" hidden="1" x14ac:dyDescent="0.25"/>
    <row r="1604" hidden="1" x14ac:dyDescent="0.25"/>
    <row r="1605" hidden="1" x14ac:dyDescent="0.25"/>
    <row r="1606" hidden="1" x14ac:dyDescent="0.25"/>
    <row r="1607" hidden="1" x14ac:dyDescent="0.25"/>
    <row r="1608" hidden="1" x14ac:dyDescent="0.25"/>
    <row r="1609" hidden="1" x14ac:dyDescent="0.25"/>
    <row r="1610" hidden="1" x14ac:dyDescent="0.25"/>
    <row r="1611" hidden="1" x14ac:dyDescent="0.25"/>
    <row r="1612" hidden="1" x14ac:dyDescent="0.25"/>
    <row r="1613" hidden="1" x14ac:dyDescent="0.25"/>
    <row r="1614" hidden="1" x14ac:dyDescent="0.25"/>
    <row r="1615" hidden="1" x14ac:dyDescent="0.25"/>
    <row r="1616" hidden="1" x14ac:dyDescent="0.25"/>
    <row r="1617" hidden="1" x14ac:dyDescent="0.25"/>
    <row r="1618" hidden="1" x14ac:dyDescent="0.25"/>
    <row r="1619" hidden="1" x14ac:dyDescent="0.25"/>
    <row r="1620" hidden="1" x14ac:dyDescent="0.25"/>
    <row r="1621" hidden="1" x14ac:dyDescent="0.25"/>
    <row r="1622" hidden="1" x14ac:dyDescent="0.25"/>
    <row r="1623" hidden="1" x14ac:dyDescent="0.25"/>
    <row r="1624" hidden="1" x14ac:dyDescent="0.25"/>
    <row r="1625" hidden="1" x14ac:dyDescent="0.25"/>
    <row r="1626" hidden="1" x14ac:dyDescent="0.25"/>
    <row r="1627" hidden="1" x14ac:dyDescent="0.25"/>
    <row r="1628" hidden="1" x14ac:dyDescent="0.25"/>
    <row r="1629" hidden="1" x14ac:dyDescent="0.25"/>
    <row r="1630" hidden="1" x14ac:dyDescent="0.25"/>
    <row r="1631" hidden="1" x14ac:dyDescent="0.25"/>
    <row r="1632" hidden="1" x14ac:dyDescent="0.25"/>
    <row r="1633" hidden="1" x14ac:dyDescent="0.25"/>
    <row r="1634" hidden="1" x14ac:dyDescent="0.25"/>
    <row r="1635" hidden="1" x14ac:dyDescent="0.25"/>
    <row r="1636" hidden="1" x14ac:dyDescent="0.25"/>
    <row r="1637" hidden="1" x14ac:dyDescent="0.25"/>
    <row r="1638" hidden="1" x14ac:dyDescent="0.25"/>
    <row r="1639" hidden="1" x14ac:dyDescent="0.25"/>
    <row r="1640" hidden="1" x14ac:dyDescent="0.25"/>
    <row r="1641" hidden="1" x14ac:dyDescent="0.25"/>
    <row r="1642" hidden="1" x14ac:dyDescent="0.25"/>
    <row r="1643" hidden="1" x14ac:dyDescent="0.25"/>
    <row r="1644" hidden="1" x14ac:dyDescent="0.25"/>
    <row r="1645" hidden="1" x14ac:dyDescent="0.25"/>
    <row r="1646" hidden="1" x14ac:dyDescent="0.25"/>
    <row r="1647" hidden="1" x14ac:dyDescent="0.25"/>
    <row r="1648" hidden="1" x14ac:dyDescent="0.25"/>
    <row r="1649" hidden="1" x14ac:dyDescent="0.25"/>
    <row r="1650" hidden="1" x14ac:dyDescent="0.25"/>
    <row r="1651" hidden="1" x14ac:dyDescent="0.25"/>
    <row r="1652" hidden="1" x14ac:dyDescent="0.25"/>
    <row r="1653" hidden="1" x14ac:dyDescent="0.25"/>
    <row r="1654" hidden="1" x14ac:dyDescent="0.25"/>
    <row r="1655" hidden="1" x14ac:dyDescent="0.25"/>
    <row r="1656" hidden="1" x14ac:dyDescent="0.25"/>
    <row r="1657" hidden="1" x14ac:dyDescent="0.25"/>
    <row r="1658" hidden="1" x14ac:dyDescent="0.25"/>
    <row r="1659" hidden="1" x14ac:dyDescent="0.25"/>
    <row r="1660" hidden="1" x14ac:dyDescent="0.25"/>
    <row r="1661" hidden="1" x14ac:dyDescent="0.25"/>
    <row r="1662" hidden="1" x14ac:dyDescent="0.25"/>
    <row r="1663" hidden="1" x14ac:dyDescent="0.25"/>
    <row r="1664" hidden="1" x14ac:dyDescent="0.25"/>
    <row r="1665" hidden="1" x14ac:dyDescent="0.25"/>
    <row r="1666" hidden="1" x14ac:dyDescent="0.25"/>
    <row r="1667" hidden="1" x14ac:dyDescent="0.25"/>
    <row r="1668" hidden="1" x14ac:dyDescent="0.25"/>
    <row r="1669" hidden="1" x14ac:dyDescent="0.25"/>
    <row r="1670" hidden="1" x14ac:dyDescent="0.25"/>
    <row r="1671" hidden="1" x14ac:dyDescent="0.25"/>
    <row r="1672" hidden="1" x14ac:dyDescent="0.25"/>
    <row r="1673" hidden="1" x14ac:dyDescent="0.25"/>
    <row r="1674" hidden="1" x14ac:dyDescent="0.25"/>
    <row r="1675" hidden="1" x14ac:dyDescent="0.25"/>
    <row r="1676" hidden="1" x14ac:dyDescent="0.25"/>
    <row r="1677" hidden="1" x14ac:dyDescent="0.25"/>
    <row r="1678" hidden="1" x14ac:dyDescent="0.25"/>
    <row r="1679" hidden="1" x14ac:dyDescent="0.25"/>
    <row r="1680" hidden="1" x14ac:dyDescent="0.25"/>
    <row r="1681" hidden="1" x14ac:dyDescent="0.25"/>
    <row r="1682" hidden="1" x14ac:dyDescent="0.25"/>
    <row r="1683" hidden="1" x14ac:dyDescent="0.25"/>
    <row r="1684" hidden="1" x14ac:dyDescent="0.25"/>
    <row r="1685" hidden="1" x14ac:dyDescent="0.25"/>
    <row r="1686" hidden="1" x14ac:dyDescent="0.25"/>
    <row r="1687" hidden="1" x14ac:dyDescent="0.25"/>
    <row r="1688" hidden="1" x14ac:dyDescent="0.25"/>
    <row r="1689" hidden="1" x14ac:dyDescent="0.25"/>
    <row r="1690" hidden="1" x14ac:dyDescent="0.25"/>
    <row r="1691" hidden="1" x14ac:dyDescent="0.25"/>
    <row r="1692" hidden="1" x14ac:dyDescent="0.25"/>
    <row r="1693" hidden="1" x14ac:dyDescent="0.25"/>
    <row r="1694" hidden="1" x14ac:dyDescent="0.25"/>
    <row r="1695" hidden="1" x14ac:dyDescent="0.25"/>
    <row r="1696" hidden="1" x14ac:dyDescent="0.25"/>
    <row r="1697" hidden="1" x14ac:dyDescent="0.25"/>
    <row r="1698" hidden="1" x14ac:dyDescent="0.25"/>
    <row r="1699" hidden="1" x14ac:dyDescent="0.25"/>
    <row r="1700" hidden="1" x14ac:dyDescent="0.25"/>
    <row r="1701" hidden="1" x14ac:dyDescent="0.25"/>
    <row r="1702" hidden="1" x14ac:dyDescent="0.25"/>
    <row r="1703" hidden="1" x14ac:dyDescent="0.25"/>
    <row r="1704" hidden="1" x14ac:dyDescent="0.25"/>
    <row r="1705" hidden="1" x14ac:dyDescent="0.25"/>
    <row r="1706" hidden="1" x14ac:dyDescent="0.25"/>
    <row r="1707" hidden="1" x14ac:dyDescent="0.25"/>
    <row r="1708" hidden="1" x14ac:dyDescent="0.25"/>
    <row r="1709" hidden="1" x14ac:dyDescent="0.25"/>
    <row r="1710" hidden="1" x14ac:dyDescent="0.25"/>
    <row r="1711" hidden="1" x14ac:dyDescent="0.25"/>
    <row r="1712" hidden="1" x14ac:dyDescent="0.25"/>
    <row r="1713" hidden="1" x14ac:dyDescent="0.25"/>
    <row r="1714" hidden="1" x14ac:dyDescent="0.25"/>
    <row r="1715" hidden="1" x14ac:dyDescent="0.25"/>
    <row r="1716" hidden="1" x14ac:dyDescent="0.25"/>
    <row r="1717" hidden="1" x14ac:dyDescent="0.25"/>
    <row r="1718" hidden="1" x14ac:dyDescent="0.25"/>
    <row r="1719" hidden="1" x14ac:dyDescent="0.25"/>
    <row r="1720" hidden="1" x14ac:dyDescent="0.25"/>
    <row r="1721" hidden="1" x14ac:dyDescent="0.25"/>
    <row r="1722" hidden="1" x14ac:dyDescent="0.25"/>
    <row r="1723" hidden="1" x14ac:dyDescent="0.25"/>
    <row r="1724" hidden="1" x14ac:dyDescent="0.25"/>
    <row r="1725" hidden="1" x14ac:dyDescent="0.25"/>
    <row r="1726" hidden="1" x14ac:dyDescent="0.25"/>
    <row r="1727" hidden="1" x14ac:dyDescent="0.25"/>
    <row r="1728" hidden="1" x14ac:dyDescent="0.25"/>
    <row r="1729" hidden="1" x14ac:dyDescent="0.25"/>
    <row r="1730" hidden="1" x14ac:dyDescent="0.25"/>
    <row r="1731" hidden="1" x14ac:dyDescent="0.25"/>
    <row r="1732" hidden="1" x14ac:dyDescent="0.25"/>
    <row r="1733" hidden="1" x14ac:dyDescent="0.25"/>
    <row r="1734" hidden="1" x14ac:dyDescent="0.25"/>
    <row r="1735" hidden="1" x14ac:dyDescent="0.25"/>
    <row r="1736" hidden="1" x14ac:dyDescent="0.25"/>
    <row r="1737" hidden="1" x14ac:dyDescent="0.25"/>
    <row r="1738" hidden="1" x14ac:dyDescent="0.25"/>
    <row r="1739" hidden="1" x14ac:dyDescent="0.25"/>
    <row r="1740" hidden="1" x14ac:dyDescent="0.25"/>
    <row r="1741" hidden="1" x14ac:dyDescent="0.25"/>
    <row r="1742" hidden="1" x14ac:dyDescent="0.25"/>
    <row r="1743" hidden="1" x14ac:dyDescent="0.25"/>
    <row r="1744" hidden="1" x14ac:dyDescent="0.25"/>
    <row r="1745" hidden="1" x14ac:dyDescent="0.25"/>
    <row r="1746" hidden="1" x14ac:dyDescent="0.25"/>
    <row r="1747" hidden="1" x14ac:dyDescent="0.25"/>
    <row r="1748" hidden="1" x14ac:dyDescent="0.25"/>
    <row r="1749" hidden="1" x14ac:dyDescent="0.25"/>
    <row r="1750" hidden="1" x14ac:dyDescent="0.25"/>
    <row r="1751" hidden="1" x14ac:dyDescent="0.25"/>
    <row r="1752" hidden="1" x14ac:dyDescent="0.25"/>
    <row r="1753" hidden="1" x14ac:dyDescent="0.25"/>
    <row r="1754" hidden="1" x14ac:dyDescent="0.25"/>
    <row r="1755" hidden="1" x14ac:dyDescent="0.25"/>
    <row r="1756" hidden="1" x14ac:dyDescent="0.25"/>
    <row r="1757" hidden="1" x14ac:dyDescent="0.25"/>
    <row r="1758" hidden="1" x14ac:dyDescent="0.25"/>
    <row r="1759" hidden="1" x14ac:dyDescent="0.25"/>
    <row r="1760" hidden="1" x14ac:dyDescent="0.25"/>
    <row r="1761" hidden="1" x14ac:dyDescent="0.25"/>
    <row r="1762" hidden="1" x14ac:dyDescent="0.25"/>
    <row r="1763" hidden="1" x14ac:dyDescent="0.25"/>
    <row r="1764" hidden="1" x14ac:dyDescent="0.25"/>
    <row r="1765" hidden="1" x14ac:dyDescent="0.25"/>
    <row r="1766" hidden="1" x14ac:dyDescent="0.25"/>
    <row r="1767" hidden="1" x14ac:dyDescent="0.25"/>
    <row r="1768" hidden="1" x14ac:dyDescent="0.25"/>
    <row r="1769" hidden="1" x14ac:dyDescent="0.25"/>
    <row r="1770" hidden="1" x14ac:dyDescent="0.25"/>
    <row r="1771" hidden="1" x14ac:dyDescent="0.25"/>
    <row r="1772" hidden="1" x14ac:dyDescent="0.25"/>
    <row r="1773" hidden="1" x14ac:dyDescent="0.25"/>
    <row r="1774" hidden="1" x14ac:dyDescent="0.25"/>
    <row r="1775" hidden="1" x14ac:dyDescent="0.25"/>
    <row r="1776" hidden="1" x14ac:dyDescent="0.25"/>
    <row r="1777" hidden="1" x14ac:dyDescent="0.25"/>
    <row r="1778" hidden="1" x14ac:dyDescent="0.25"/>
    <row r="1779" hidden="1" x14ac:dyDescent="0.25"/>
    <row r="1780" hidden="1" x14ac:dyDescent="0.25"/>
    <row r="1781" hidden="1" x14ac:dyDescent="0.25"/>
    <row r="1782" hidden="1" x14ac:dyDescent="0.25"/>
    <row r="1783" hidden="1" x14ac:dyDescent="0.25"/>
    <row r="1784" hidden="1" x14ac:dyDescent="0.25"/>
    <row r="1785" hidden="1" x14ac:dyDescent="0.25"/>
    <row r="1786" hidden="1" x14ac:dyDescent="0.25"/>
    <row r="1787" hidden="1" x14ac:dyDescent="0.25"/>
    <row r="1788" hidden="1" x14ac:dyDescent="0.25"/>
    <row r="1789" hidden="1" x14ac:dyDescent="0.25"/>
    <row r="1790" hidden="1" x14ac:dyDescent="0.25"/>
    <row r="1791" hidden="1" x14ac:dyDescent="0.25"/>
    <row r="1792" hidden="1" x14ac:dyDescent="0.25"/>
    <row r="1793" hidden="1" x14ac:dyDescent="0.25"/>
    <row r="1794" hidden="1" x14ac:dyDescent="0.25"/>
    <row r="1795" hidden="1" x14ac:dyDescent="0.25"/>
    <row r="1796" hidden="1" x14ac:dyDescent="0.25"/>
    <row r="1797" hidden="1" x14ac:dyDescent="0.25"/>
    <row r="1798" hidden="1" x14ac:dyDescent="0.25"/>
    <row r="1799" hidden="1" x14ac:dyDescent="0.25"/>
    <row r="1800" hidden="1" x14ac:dyDescent="0.25"/>
    <row r="1801" hidden="1" x14ac:dyDescent="0.25"/>
    <row r="1802" hidden="1" x14ac:dyDescent="0.25"/>
    <row r="1803" hidden="1" x14ac:dyDescent="0.25"/>
    <row r="1804" hidden="1" x14ac:dyDescent="0.25"/>
    <row r="1805" hidden="1" x14ac:dyDescent="0.25"/>
    <row r="1806" hidden="1" x14ac:dyDescent="0.25"/>
    <row r="1807" hidden="1" x14ac:dyDescent="0.25"/>
    <row r="1808" hidden="1" x14ac:dyDescent="0.25"/>
    <row r="1809" hidden="1" x14ac:dyDescent="0.25"/>
    <row r="1810" hidden="1" x14ac:dyDescent="0.25"/>
    <row r="1811" hidden="1" x14ac:dyDescent="0.25"/>
    <row r="1812" hidden="1" x14ac:dyDescent="0.25"/>
    <row r="1813" hidden="1" x14ac:dyDescent="0.25"/>
    <row r="1814" hidden="1" x14ac:dyDescent="0.25"/>
    <row r="1815" hidden="1" x14ac:dyDescent="0.25"/>
    <row r="1816" hidden="1" x14ac:dyDescent="0.25"/>
    <row r="1817" hidden="1" x14ac:dyDescent="0.25"/>
    <row r="1818" hidden="1" x14ac:dyDescent="0.25"/>
    <row r="1819" hidden="1" x14ac:dyDescent="0.25"/>
    <row r="1820" hidden="1" x14ac:dyDescent="0.25"/>
    <row r="1821" hidden="1" x14ac:dyDescent="0.25"/>
    <row r="1822" hidden="1" x14ac:dyDescent="0.25"/>
    <row r="1823" hidden="1" x14ac:dyDescent="0.25"/>
    <row r="1824" hidden="1" x14ac:dyDescent="0.25"/>
    <row r="1825" hidden="1" x14ac:dyDescent="0.25"/>
    <row r="1826" hidden="1" x14ac:dyDescent="0.25"/>
    <row r="1827" hidden="1" x14ac:dyDescent="0.25"/>
    <row r="1828" hidden="1" x14ac:dyDescent="0.25"/>
    <row r="1829" hidden="1" x14ac:dyDescent="0.25"/>
    <row r="1830" hidden="1" x14ac:dyDescent="0.25"/>
    <row r="1831" hidden="1" x14ac:dyDescent="0.25"/>
    <row r="1832" hidden="1" x14ac:dyDescent="0.25"/>
    <row r="1833" hidden="1" x14ac:dyDescent="0.25"/>
    <row r="1834" hidden="1" x14ac:dyDescent="0.25"/>
    <row r="1835" hidden="1" x14ac:dyDescent="0.25"/>
    <row r="1836" hidden="1" x14ac:dyDescent="0.25"/>
    <row r="1837" hidden="1" x14ac:dyDescent="0.25"/>
    <row r="1838" hidden="1" x14ac:dyDescent="0.25"/>
    <row r="1839" hidden="1" x14ac:dyDescent="0.25"/>
    <row r="1840" hidden="1" x14ac:dyDescent="0.25"/>
    <row r="1841" hidden="1" x14ac:dyDescent="0.25"/>
    <row r="1842" hidden="1" x14ac:dyDescent="0.25"/>
    <row r="1843" hidden="1" x14ac:dyDescent="0.25"/>
    <row r="1844" hidden="1" x14ac:dyDescent="0.25"/>
    <row r="1845" hidden="1" x14ac:dyDescent="0.25"/>
    <row r="1846" hidden="1" x14ac:dyDescent="0.25"/>
    <row r="1847" hidden="1" x14ac:dyDescent="0.25"/>
    <row r="1848" hidden="1" x14ac:dyDescent="0.25"/>
    <row r="1849" hidden="1" x14ac:dyDescent="0.25"/>
    <row r="1850" hidden="1" x14ac:dyDescent="0.25"/>
    <row r="1851" hidden="1" x14ac:dyDescent="0.25"/>
    <row r="1852" hidden="1" x14ac:dyDescent="0.25"/>
    <row r="1853" hidden="1" x14ac:dyDescent="0.25"/>
    <row r="1854" hidden="1" x14ac:dyDescent="0.25"/>
    <row r="1855" hidden="1" x14ac:dyDescent="0.25"/>
    <row r="1856" hidden="1" x14ac:dyDescent="0.25"/>
    <row r="1857" hidden="1" x14ac:dyDescent="0.25"/>
    <row r="1858" hidden="1" x14ac:dyDescent="0.25"/>
    <row r="1859" hidden="1" x14ac:dyDescent="0.25"/>
    <row r="1860" hidden="1" x14ac:dyDescent="0.25"/>
    <row r="1861" hidden="1" x14ac:dyDescent="0.25"/>
    <row r="1862" hidden="1" x14ac:dyDescent="0.25"/>
    <row r="1863" hidden="1" x14ac:dyDescent="0.25"/>
    <row r="1864" hidden="1" x14ac:dyDescent="0.25"/>
    <row r="1865" hidden="1" x14ac:dyDescent="0.25"/>
    <row r="1866" hidden="1" x14ac:dyDescent="0.25"/>
    <row r="1867" hidden="1" x14ac:dyDescent="0.25"/>
    <row r="1868" hidden="1" x14ac:dyDescent="0.25"/>
    <row r="1869" hidden="1" x14ac:dyDescent="0.25"/>
    <row r="1870" hidden="1" x14ac:dyDescent="0.25"/>
    <row r="1871" hidden="1" x14ac:dyDescent="0.25"/>
    <row r="1872" hidden="1" x14ac:dyDescent="0.25"/>
    <row r="1873" hidden="1" x14ac:dyDescent="0.25"/>
    <row r="1874" hidden="1" x14ac:dyDescent="0.25"/>
    <row r="1875" hidden="1" x14ac:dyDescent="0.25"/>
    <row r="1876" hidden="1" x14ac:dyDescent="0.25"/>
    <row r="1877" hidden="1" x14ac:dyDescent="0.25"/>
    <row r="1878" hidden="1" x14ac:dyDescent="0.25"/>
    <row r="1879" hidden="1" x14ac:dyDescent="0.25"/>
    <row r="1880" hidden="1" x14ac:dyDescent="0.25"/>
    <row r="1881" hidden="1" x14ac:dyDescent="0.25"/>
    <row r="1882" hidden="1" x14ac:dyDescent="0.25"/>
    <row r="1883" hidden="1" x14ac:dyDescent="0.25"/>
    <row r="1884" hidden="1" x14ac:dyDescent="0.25"/>
    <row r="1885" hidden="1" x14ac:dyDescent="0.25"/>
    <row r="1886" hidden="1" x14ac:dyDescent="0.25"/>
    <row r="1887" hidden="1" x14ac:dyDescent="0.25"/>
    <row r="1888" hidden="1" x14ac:dyDescent="0.25"/>
    <row r="1889" hidden="1" x14ac:dyDescent="0.25"/>
    <row r="1890" hidden="1" x14ac:dyDescent="0.25"/>
    <row r="1891" hidden="1" x14ac:dyDescent="0.25"/>
    <row r="1892" hidden="1" x14ac:dyDescent="0.25"/>
    <row r="1893" hidden="1" x14ac:dyDescent="0.25"/>
    <row r="1894" hidden="1" x14ac:dyDescent="0.25"/>
    <row r="1895" hidden="1" x14ac:dyDescent="0.25"/>
    <row r="1896" hidden="1" x14ac:dyDescent="0.25"/>
    <row r="1897" hidden="1" x14ac:dyDescent="0.25"/>
    <row r="1898" hidden="1" x14ac:dyDescent="0.25"/>
    <row r="1899" hidden="1" x14ac:dyDescent="0.25"/>
    <row r="1900" hidden="1" x14ac:dyDescent="0.25"/>
    <row r="1901" hidden="1" x14ac:dyDescent="0.25"/>
    <row r="1902" hidden="1" x14ac:dyDescent="0.25"/>
    <row r="1903" hidden="1" x14ac:dyDescent="0.25"/>
    <row r="1904" hidden="1" x14ac:dyDescent="0.25"/>
    <row r="1905" hidden="1" x14ac:dyDescent="0.25"/>
    <row r="1906" hidden="1" x14ac:dyDescent="0.25"/>
    <row r="1907" hidden="1" x14ac:dyDescent="0.25"/>
    <row r="1908" hidden="1" x14ac:dyDescent="0.25"/>
    <row r="1909" hidden="1" x14ac:dyDescent="0.25"/>
    <row r="1910" hidden="1" x14ac:dyDescent="0.25"/>
    <row r="1911" hidden="1" x14ac:dyDescent="0.25"/>
    <row r="1912" hidden="1" x14ac:dyDescent="0.25"/>
    <row r="1913" hidden="1" x14ac:dyDescent="0.25"/>
    <row r="1914" hidden="1" x14ac:dyDescent="0.25"/>
    <row r="1915" hidden="1" x14ac:dyDescent="0.25"/>
    <row r="1916" hidden="1" x14ac:dyDescent="0.25"/>
    <row r="1917" hidden="1" x14ac:dyDescent="0.25"/>
    <row r="1918" hidden="1" x14ac:dyDescent="0.25"/>
    <row r="1919" hidden="1" x14ac:dyDescent="0.25"/>
    <row r="1920" hidden="1" x14ac:dyDescent="0.25"/>
    <row r="1921" hidden="1" x14ac:dyDescent="0.25"/>
    <row r="1922" hidden="1" x14ac:dyDescent="0.25"/>
    <row r="1923" hidden="1" x14ac:dyDescent="0.25"/>
    <row r="1924" hidden="1" x14ac:dyDescent="0.25"/>
    <row r="1925" hidden="1" x14ac:dyDescent="0.25"/>
    <row r="1926" hidden="1" x14ac:dyDescent="0.25"/>
    <row r="1927" hidden="1" x14ac:dyDescent="0.25"/>
    <row r="1928" hidden="1" x14ac:dyDescent="0.25"/>
    <row r="1929" hidden="1" x14ac:dyDescent="0.25"/>
    <row r="1930" hidden="1" x14ac:dyDescent="0.25"/>
    <row r="1931" hidden="1" x14ac:dyDescent="0.25"/>
    <row r="1932" hidden="1" x14ac:dyDescent="0.25"/>
    <row r="1933" hidden="1" x14ac:dyDescent="0.25"/>
    <row r="1934" hidden="1" x14ac:dyDescent="0.25"/>
    <row r="1935" hidden="1" x14ac:dyDescent="0.25"/>
    <row r="1936" hidden="1" x14ac:dyDescent="0.25"/>
    <row r="1937" hidden="1" x14ac:dyDescent="0.25"/>
    <row r="1938" hidden="1" x14ac:dyDescent="0.25"/>
    <row r="1939" hidden="1" x14ac:dyDescent="0.25"/>
    <row r="1940" hidden="1" x14ac:dyDescent="0.25"/>
    <row r="1941" hidden="1" x14ac:dyDescent="0.25"/>
    <row r="1942" hidden="1" x14ac:dyDescent="0.25"/>
    <row r="1943" hidden="1" x14ac:dyDescent="0.25"/>
    <row r="1944" hidden="1" x14ac:dyDescent="0.25"/>
    <row r="1945" hidden="1" x14ac:dyDescent="0.25"/>
    <row r="1946" hidden="1" x14ac:dyDescent="0.25"/>
    <row r="1947" hidden="1" x14ac:dyDescent="0.25"/>
    <row r="1948" hidden="1" x14ac:dyDescent="0.25"/>
    <row r="1949" hidden="1" x14ac:dyDescent="0.25"/>
    <row r="1950" hidden="1" x14ac:dyDescent="0.25"/>
    <row r="1951" hidden="1" x14ac:dyDescent="0.25"/>
    <row r="1952" hidden="1" x14ac:dyDescent="0.25"/>
    <row r="1953" hidden="1" x14ac:dyDescent="0.25"/>
    <row r="1954" hidden="1" x14ac:dyDescent="0.25"/>
    <row r="1955" hidden="1" x14ac:dyDescent="0.25"/>
    <row r="1956" hidden="1" x14ac:dyDescent="0.25"/>
    <row r="1957" hidden="1" x14ac:dyDescent="0.25"/>
    <row r="1958" hidden="1" x14ac:dyDescent="0.25"/>
    <row r="1959" hidden="1" x14ac:dyDescent="0.25"/>
    <row r="1960" hidden="1" x14ac:dyDescent="0.25"/>
    <row r="1961" hidden="1" x14ac:dyDescent="0.25"/>
    <row r="1962" hidden="1" x14ac:dyDescent="0.25"/>
    <row r="1963" hidden="1" x14ac:dyDescent="0.25"/>
    <row r="1964" hidden="1" x14ac:dyDescent="0.25"/>
    <row r="1965" hidden="1" x14ac:dyDescent="0.25"/>
    <row r="1966" hidden="1" x14ac:dyDescent="0.25"/>
    <row r="1967" hidden="1" x14ac:dyDescent="0.25"/>
    <row r="1968" hidden="1" x14ac:dyDescent="0.25"/>
    <row r="1969" hidden="1" x14ac:dyDescent="0.25"/>
    <row r="1970" hidden="1" x14ac:dyDescent="0.25"/>
    <row r="1971" hidden="1" x14ac:dyDescent="0.25"/>
    <row r="1972" hidden="1" x14ac:dyDescent="0.25"/>
    <row r="1973" hidden="1" x14ac:dyDescent="0.25"/>
    <row r="1974" hidden="1" x14ac:dyDescent="0.25"/>
    <row r="1975" hidden="1" x14ac:dyDescent="0.25"/>
    <row r="1976" hidden="1" x14ac:dyDescent="0.25"/>
    <row r="1977" hidden="1" x14ac:dyDescent="0.25"/>
    <row r="1978" hidden="1" x14ac:dyDescent="0.25"/>
    <row r="1979" hidden="1" x14ac:dyDescent="0.25"/>
    <row r="1980" hidden="1" x14ac:dyDescent="0.25"/>
    <row r="1981" hidden="1" x14ac:dyDescent="0.25"/>
    <row r="1982" hidden="1" x14ac:dyDescent="0.25"/>
    <row r="1983" hidden="1" x14ac:dyDescent="0.25"/>
    <row r="1984" hidden="1" x14ac:dyDescent="0.25"/>
    <row r="1985" hidden="1" x14ac:dyDescent="0.25"/>
    <row r="1986" hidden="1" x14ac:dyDescent="0.25"/>
    <row r="1987" hidden="1" x14ac:dyDescent="0.25"/>
    <row r="1988" hidden="1" x14ac:dyDescent="0.25"/>
    <row r="1989" hidden="1" x14ac:dyDescent="0.25"/>
    <row r="1990" hidden="1" x14ac:dyDescent="0.25"/>
    <row r="1991" hidden="1" x14ac:dyDescent="0.25"/>
    <row r="1992" hidden="1" x14ac:dyDescent="0.25"/>
    <row r="1993" hidden="1" x14ac:dyDescent="0.25"/>
    <row r="1994" hidden="1" x14ac:dyDescent="0.25"/>
    <row r="1995" hidden="1" x14ac:dyDescent="0.25"/>
    <row r="1996" hidden="1" x14ac:dyDescent="0.25"/>
    <row r="1997" hidden="1" x14ac:dyDescent="0.25"/>
    <row r="1998" hidden="1" x14ac:dyDescent="0.25"/>
    <row r="1999" hidden="1" x14ac:dyDescent="0.25"/>
    <row r="2000" hidden="1" x14ac:dyDescent="0.25"/>
    <row r="2001" hidden="1" x14ac:dyDescent="0.25"/>
    <row r="2002" hidden="1" x14ac:dyDescent="0.25"/>
    <row r="2003" hidden="1" x14ac:dyDescent="0.25"/>
    <row r="2004" hidden="1" x14ac:dyDescent="0.25"/>
    <row r="2005" hidden="1" x14ac:dyDescent="0.25"/>
    <row r="2006" hidden="1" x14ac:dyDescent="0.25"/>
    <row r="2007" hidden="1" x14ac:dyDescent="0.25"/>
    <row r="2008" hidden="1" x14ac:dyDescent="0.25"/>
    <row r="2009" hidden="1" x14ac:dyDescent="0.25"/>
    <row r="2010" hidden="1" x14ac:dyDescent="0.25"/>
    <row r="2011" hidden="1" x14ac:dyDescent="0.25"/>
    <row r="2012" hidden="1" x14ac:dyDescent="0.25"/>
    <row r="2013" hidden="1" x14ac:dyDescent="0.25"/>
    <row r="2014" hidden="1" x14ac:dyDescent="0.25"/>
    <row r="2015" hidden="1" x14ac:dyDescent="0.25"/>
    <row r="2016" hidden="1" x14ac:dyDescent="0.25"/>
    <row r="2017" hidden="1" x14ac:dyDescent="0.25"/>
    <row r="2018" hidden="1" x14ac:dyDescent="0.25"/>
    <row r="2019" hidden="1" x14ac:dyDescent="0.25"/>
    <row r="2020" hidden="1" x14ac:dyDescent="0.25"/>
    <row r="2021" hidden="1" x14ac:dyDescent="0.25"/>
    <row r="2022" hidden="1" x14ac:dyDescent="0.25"/>
    <row r="2023" hidden="1" x14ac:dyDescent="0.25"/>
    <row r="2024" hidden="1" x14ac:dyDescent="0.25"/>
    <row r="2025" hidden="1" x14ac:dyDescent="0.25"/>
    <row r="2026" hidden="1" x14ac:dyDescent="0.25"/>
    <row r="2027" hidden="1" x14ac:dyDescent="0.25"/>
    <row r="2028" hidden="1" x14ac:dyDescent="0.25"/>
    <row r="2029" hidden="1" x14ac:dyDescent="0.25"/>
    <row r="2030" hidden="1" x14ac:dyDescent="0.25"/>
    <row r="2031" hidden="1" x14ac:dyDescent="0.25"/>
    <row r="2032" hidden="1" x14ac:dyDescent="0.25"/>
    <row r="2033" hidden="1" x14ac:dyDescent="0.25"/>
    <row r="2034" hidden="1" x14ac:dyDescent="0.25"/>
    <row r="2035" hidden="1" x14ac:dyDescent="0.25"/>
    <row r="2036" hidden="1" x14ac:dyDescent="0.25"/>
    <row r="2037" hidden="1" x14ac:dyDescent="0.25"/>
    <row r="2038" hidden="1" x14ac:dyDescent="0.25"/>
    <row r="2039" hidden="1" x14ac:dyDescent="0.25"/>
    <row r="2040" hidden="1" x14ac:dyDescent="0.25"/>
    <row r="2041" hidden="1" x14ac:dyDescent="0.25"/>
    <row r="2042" hidden="1" x14ac:dyDescent="0.25"/>
    <row r="2043" hidden="1" x14ac:dyDescent="0.25"/>
    <row r="2044" hidden="1" x14ac:dyDescent="0.25"/>
    <row r="2045" hidden="1" x14ac:dyDescent="0.25"/>
    <row r="2046" hidden="1" x14ac:dyDescent="0.25"/>
    <row r="2047" hidden="1" x14ac:dyDescent="0.25"/>
    <row r="2048" hidden="1" x14ac:dyDescent="0.25"/>
    <row r="2049" hidden="1" x14ac:dyDescent="0.25"/>
    <row r="2050" hidden="1" x14ac:dyDescent="0.25"/>
    <row r="2051" hidden="1" x14ac:dyDescent="0.25"/>
    <row r="2052" hidden="1" x14ac:dyDescent="0.25"/>
    <row r="2053" hidden="1" x14ac:dyDescent="0.25"/>
    <row r="2054" hidden="1" x14ac:dyDescent="0.25"/>
    <row r="2055" hidden="1" x14ac:dyDescent="0.25"/>
    <row r="2056" hidden="1" x14ac:dyDescent="0.25"/>
    <row r="2057" hidden="1" x14ac:dyDescent="0.25"/>
    <row r="2058" hidden="1" x14ac:dyDescent="0.25"/>
    <row r="2059" hidden="1" x14ac:dyDescent="0.25"/>
    <row r="2060" hidden="1" x14ac:dyDescent="0.25"/>
    <row r="2061" hidden="1" x14ac:dyDescent="0.25"/>
    <row r="2062" hidden="1" x14ac:dyDescent="0.25"/>
    <row r="2063" hidden="1" x14ac:dyDescent="0.25"/>
    <row r="2064" hidden="1" x14ac:dyDescent="0.25"/>
    <row r="2065" hidden="1" x14ac:dyDescent="0.25"/>
    <row r="2066" hidden="1" x14ac:dyDescent="0.25"/>
    <row r="2067" hidden="1" x14ac:dyDescent="0.25"/>
    <row r="2068" hidden="1" x14ac:dyDescent="0.25"/>
    <row r="2069" hidden="1" x14ac:dyDescent="0.25"/>
    <row r="2070" hidden="1" x14ac:dyDescent="0.25"/>
    <row r="2071" hidden="1" x14ac:dyDescent="0.25"/>
    <row r="2072" hidden="1" x14ac:dyDescent="0.25"/>
    <row r="2073" hidden="1" x14ac:dyDescent="0.25"/>
    <row r="2074" hidden="1" x14ac:dyDescent="0.25"/>
    <row r="2075" hidden="1" x14ac:dyDescent="0.25"/>
    <row r="2076" hidden="1" x14ac:dyDescent="0.25"/>
    <row r="2077" hidden="1" x14ac:dyDescent="0.25"/>
    <row r="2078" hidden="1" x14ac:dyDescent="0.25"/>
    <row r="2079" hidden="1" x14ac:dyDescent="0.25"/>
    <row r="2080" hidden="1" x14ac:dyDescent="0.25"/>
    <row r="2081" hidden="1" x14ac:dyDescent="0.25"/>
    <row r="2082" hidden="1" x14ac:dyDescent="0.25"/>
    <row r="2083" hidden="1" x14ac:dyDescent="0.25"/>
    <row r="2084" hidden="1" x14ac:dyDescent="0.25"/>
    <row r="2085" hidden="1" x14ac:dyDescent="0.25"/>
    <row r="2086" hidden="1" x14ac:dyDescent="0.25"/>
    <row r="2087" hidden="1" x14ac:dyDescent="0.25"/>
    <row r="2088" hidden="1" x14ac:dyDescent="0.25"/>
    <row r="2089" hidden="1" x14ac:dyDescent="0.25"/>
    <row r="2090" hidden="1" x14ac:dyDescent="0.25"/>
    <row r="2091" hidden="1" x14ac:dyDescent="0.25"/>
    <row r="2092" hidden="1" x14ac:dyDescent="0.25"/>
    <row r="2093" hidden="1" x14ac:dyDescent="0.25"/>
    <row r="2094" hidden="1" x14ac:dyDescent="0.25"/>
    <row r="2095" hidden="1" x14ac:dyDescent="0.25"/>
    <row r="2096" hidden="1" x14ac:dyDescent="0.25"/>
    <row r="2097" hidden="1" x14ac:dyDescent="0.25"/>
    <row r="2098" hidden="1" x14ac:dyDescent="0.25"/>
    <row r="2099" hidden="1" x14ac:dyDescent="0.25"/>
    <row r="2100" hidden="1" x14ac:dyDescent="0.25"/>
    <row r="2101" hidden="1" x14ac:dyDescent="0.25"/>
    <row r="2102" hidden="1" x14ac:dyDescent="0.25"/>
    <row r="2103" hidden="1" x14ac:dyDescent="0.25"/>
    <row r="2104" hidden="1" x14ac:dyDescent="0.25"/>
    <row r="2105" hidden="1" x14ac:dyDescent="0.25"/>
    <row r="2106" hidden="1" x14ac:dyDescent="0.25"/>
    <row r="2107" hidden="1" x14ac:dyDescent="0.25"/>
    <row r="2108" hidden="1" x14ac:dyDescent="0.25"/>
    <row r="2109" hidden="1" x14ac:dyDescent="0.25"/>
    <row r="2110" hidden="1" x14ac:dyDescent="0.25"/>
    <row r="2111" hidden="1" x14ac:dyDescent="0.25"/>
    <row r="2112" hidden="1" x14ac:dyDescent="0.25"/>
    <row r="2113" hidden="1" x14ac:dyDescent="0.25"/>
    <row r="2114" hidden="1" x14ac:dyDescent="0.25"/>
    <row r="2115" hidden="1" x14ac:dyDescent="0.25"/>
    <row r="2116" hidden="1" x14ac:dyDescent="0.25"/>
    <row r="2117" hidden="1" x14ac:dyDescent="0.25"/>
    <row r="2118" hidden="1" x14ac:dyDescent="0.25"/>
    <row r="2119" hidden="1" x14ac:dyDescent="0.25"/>
    <row r="2120" hidden="1" x14ac:dyDescent="0.25"/>
    <row r="2121" hidden="1" x14ac:dyDescent="0.25"/>
    <row r="2122" hidden="1" x14ac:dyDescent="0.25"/>
    <row r="2123" hidden="1" x14ac:dyDescent="0.25"/>
    <row r="2124" hidden="1" x14ac:dyDescent="0.25"/>
    <row r="2125" hidden="1" x14ac:dyDescent="0.25"/>
    <row r="2126" hidden="1" x14ac:dyDescent="0.25"/>
    <row r="2127" hidden="1" x14ac:dyDescent="0.25"/>
    <row r="2128" hidden="1" x14ac:dyDescent="0.25"/>
    <row r="2129" hidden="1" x14ac:dyDescent="0.25"/>
    <row r="2130" hidden="1" x14ac:dyDescent="0.25"/>
    <row r="2131" hidden="1" x14ac:dyDescent="0.25"/>
    <row r="2132" hidden="1" x14ac:dyDescent="0.25"/>
    <row r="2133" hidden="1" x14ac:dyDescent="0.25"/>
    <row r="2134" hidden="1" x14ac:dyDescent="0.25"/>
    <row r="2135" hidden="1" x14ac:dyDescent="0.25"/>
    <row r="2136" hidden="1" x14ac:dyDescent="0.25"/>
    <row r="2137" hidden="1" x14ac:dyDescent="0.25"/>
    <row r="2138" hidden="1" x14ac:dyDescent="0.25"/>
    <row r="2139" hidden="1" x14ac:dyDescent="0.25"/>
    <row r="2140" hidden="1" x14ac:dyDescent="0.25"/>
    <row r="2141" hidden="1" x14ac:dyDescent="0.25"/>
    <row r="2142" hidden="1" x14ac:dyDescent="0.25"/>
    <row r="2143" hidden="1" x14ac:dyDescent="0.25"/>
    <row r="2144" hidden="1" x14ac:dyDescent="0.25"/>
    <row r="2145" hidden="1" x14ac:dyDescent="0.25"/>
    <row r="2146" hidden="1" x14ac:dyDescent="0.25"/>
    <row r="2147" hidden="1" x14ac:dyDescent="0.25"/>
    <row r="2148" hidden="1" x14ac:dyDescent="0.25"/>
    <row r="2149" hidden="1" x14ac:dyDescent="0.25"/>
    <row r="2150" hidden="1" x14ac:dyDescent="0.25"/>
    <row r="2151" hidden="1" x14ac:dyDescent="0.25"/>
    <row r="2152" hidden="1" x14ac:dyDescent="0.25"/>
    <row r="2153" hidden="1" x14ac:dyDescent="0.25"/>
    <row r="2154" hidden="1" x14ac:dyDescent="0.25"/>
    <row r="2155" hidden="1" x14ac:dyDescent="0.25"/>
    <row r="2156" hidden="1" x14ac:dyDescent="0.25"/>
    <row r="2157" hidden="1" x14ac:dyDescent="0.25"/>
    <row r="2158" hidden="1" x14ac:dyDescent="0.25"/>
    <row r="2159" hidden="1" x14ac:dyDescent="0.25"/>
    <row r="2160" hidden="1" x14ac:dyDescent="0.25"/>
    <row r="2161" hidden="1" x14ac:dyDescent="0.25"/>
    <row r="2162" hidden="1" x14ac:dyDescent="0.25"/>
    <row r="2163" hidden="1" x14ac:dyDescent="0.25"/>
    <row r="2164" hidden="1" x14ac:dyDescent="0.25"/>
    <row r="2165" hidden="1" x14ac:dyDescent="0.25"/>
    <row r="2166" hidden="1" x14ac:dyDescent="0.25"/>
    <row r="2167" hidden="1" x14ac:dyDescent="0.25"/>
    <row r="2168" hidden="1" x14ac:dyDescent="0.25"/>
    <row r="2169" hidden="1" x14ac:dyDescent="0.25"/>
    <row r="2170" hidden="1" x14ac:dyDescent="0.25"/>
    <row r="2171" hidden="1" x14ac:dyDescent="0.25"/>
    <row r="2172" hidden="1" x14ac:dyDescent="0.25"/>
    <row r="2173" hidden="1" x14ac:dyDescent="0.25"/>
    <row r="2174" hidden="1" x14ac:dyDescent="0.25"/>
    <row r="2175" hidden="1" x14ac:dyDescent="0.25"/>
    <row r="2176" hidden="1" x14ac:dyDescent="0.25"/>
    <row r="2177" hidden="1" x14ac:dyDescent="0.25"/>
    <row r="2178" hidden="1" x14ac:dyDescent="0.25"/>
    <row r="2179" hidden="1" x14ac:dyDescent="0.25"/>
    <row r="2180" hidden="1" x14ac:dyDescent="0.25"/>
    <row r="2181" hidden="1" x14ac:dyDescent="0.25"/>
    <row r="2182" hidden="1" x14ac:dyDescent="0.25"/>
    <row r="2183" hidden="1" x14ac:dyDescent="0.25"/>
    <row r="2184" hidden="1" x14ac:dyDescent="0.25"/>
    <row r="2185" hidden="1" x14ac:dyDescent="0.25"/>
    <row r="2186" hidden="1" x14ac:dyDescent="0.25"/>
    <row r="2187" hidden="1" x14ac:dyDescent="0.25"/>
    <row r="2188" hidden="1" x14ac:dyDescent="0.25"/>
    <row r="2189" hidden="1" x14ac:dyDescent="0.25"/>
    <row r="2190" hidden="1" x14ac:dyDescent="0.25"/>
    <row r="2191" hidden="1" x14ac:dyDescent="0.25"/>
    <row r="2192" hidden="1" x14ac:dyDescent="0.25"/>
    <row r="2193" hidden="1" x14ac:dyDescent="0.25"/>
    <row r="2194" hidden="1" x14ac:dyDescent="0.25"/>
    <row r="2195" hidden="1" x14ac:dyDescent="0.25"/>
    <row r="2196" hidden="1" x14ac:dyDescent="0.25"/>
    <row r="2197" hidden="1" x14ac:dyDescent="0.25"/>
    <row r="2198" hidden="1" x14ac:dyDescent="0.25"/>
    <row r="2199" hidden="1" x14ac:dyDescent="0.25"/>
    <row r="2200" hidden="1" x14ac:dyDescent="0.25"/>
    <row r="2201" hidden="1" x14ac:dyDescent="0.25"/>
    <row r="2202" hidden="1" x14ac:dyDescent="0.25"/>
    <row r="2203" hidden="1" x14ac:dyDescent="0.25"/>
    <row r="2204" hidden="1" x14ac:dyDescent="0.25"/>
    <row r="2205" hidden="1" x14ac:dyDescent="0.25"/>
    <row r="2206" hidden="1" x14ac:dyDescent="0.25"/>
    <row r="2207" hidden="1" x14ac:dyDescent="0.25"/>
    <row r="2208" hidden="1" x14ac:dyDescent="0.25"/>
    <row r="2209" hidden="1" x14ac:dyDescent="0.25"/>
    <row r="2210" hidden="1" x14ac:dyDescent="0.25"/>
    <row r="2211" hidden="1" x14ac:dyDescent="0.25"/>
    <row r="2212" hidden="1" x14ac:dyDescent="0.25"/>
    <row r="2213" hidden="1" x14ac:dyDescent="0.25"/>
    <row r="2214" hidden="1" x14ac:dyDescent="0.25"/>
    <row r="2215" hidden="1" x14ac:dyDescent="0.25"/>
    <row r="2216" hidden="1" x14ac:dyDescent="0.25"/>
    <row r="2217" hidden="1" x14ac:dyDescent="0.25"/>
    <row r="2218" hidden="1" x14ac:dyDescent="0.25"/>
    <row r="2219" hidden="1" x14ac:dyDescent="0.25"/>
    <row r="2220" hidden="1" x14ac:dyDescent="0.25"/>
    <row r="2221" hidden="1" x14ac:dyDescent="0.25"/>
    <row r="2222" hidden="1" x14ac:dyDescent="0.25"/>
    <row r="2223" hidden="1" x14ac:dyDescent="0.25"/>
    <row r="2224" hidden="1" x14ac:dyDescent="0.25"/>
    <row r="2225" hidden="1" x14ac:dyDescent="0.25"/>
    <row r="2226" hidden="1" x14ac:dyDescent="0.25"/>
    <row r="2227" hidden="1" x14ac:dyDescent="0.25"/>
    <row r="2228" hidden="1" x14ac:dyDescent="0.25"/>
    <row r="2229" hidden="1" x14ac:dyDescent="0.25"/>
    <row r="2230" hidden="1" x14ac:dyDescent="0.25"/>
    <row r="2231" hidden="1" x14ac:dyDescent="0.25"/>
    <row r="2232" hidden="1" x14ac:dyDescent="0.25"/>
    <row r="2233" hidden="1" x14ac:dyDescent="0.25"/>
    <row r="2234" hidden="1" x14ac:dyDescent="0.25"/>
    <row r="2235" hidden="1" x14ac:dyDescent="0.25"/>
    <row r="2236" hidden="1" x14ac:dyDescent="0.25"/>
    <row r="2237" hidden="1" x14ac:dyDescent="0.25"/>
    <row r="2238" hidden="1" x14ac:dyDescent="0.25"/>
    <row r="2239" hidden="1" x14ac:dyDescent="0.25"/>
    <row r="2240" hidden="1" x14ac:dyDescent="0.25"/>
    <row r="2241" hidden="1" x14ac:dyDescent="0.25"/>
    <row r="2242" hidden="1" x14ac:dyDescent="0.25"/>
    <row r="2243" hidden="1" x14ac:dyDescent="0.25"/>
    <row r="2244" hidden="1" x14ac:dyDescent="0.25"/>
    <row r="2245" hidden="1" x14ac:dyDescent="0.25"/>
    <row r="2246" hidden="1" x14ac:dyDescent="0.25"/>
    <row r="2247" hidden="1" x14ac:dyDescent="0.25"/>
    <row r="2248" hidden="1" x14ac:dyDescent="0.25"/>
    <row r="2249" hidden="1" x14ac:dyDescent="0.25"/>
    <row r="2250" hidden="1" x14ac:dyDescent="0.25"/>
    <row r="2251" hidden="1" x14ac:dyDescent="0.25"/>
    <row r="2252" hidden="1" x14ac:dyDescent="0.25"/>
    <row r="2253" hidden="1" x14ac:dyDescent="0.25"/>
    <row r="2254" hidden="1" x14ac:dyDescent="0.25"/>
    <row r="2255" hidden="1" x14ac:dyDescent="0.25"/>
    <row r="2256" hidden="1" x14ac:dyDescent="0.25"/>
    <row r="2257" hidden="1" x14ac:dyDescent="0.25"/>
    <row r="2258" hidden="1" x14ac:dyDescent="0.25"/>
    <row r="2259" hidden="1" x14ac:dyDescent="0.25"/>
    <row r="2260" hidden="1" x14ac:dyDescent="0.25"/>
    <row r="2261" hidden="1" x14ac:dyDescent="0.25"/>
    <row r="2262" hidden="1" x14ac:dyDescent="0.25"/>
    <row r="2263" hidden="1" x14ac:dyDescent="0.25"/>
    <row r="2264" hidden="1" x14ac:dyDescent="0.25"/>
    <row r="2265" hidden="1" x14ac:dyDescent="0.25"/>
    <row r="2266" hidden="1" x14ac:dyDescent="0.25"/>
    <row r="2267" hidden="1" x14ac:dyDescent="0.25"/>
    <row r="2268" hidden="1" x14ac:dyDescent="0.25"/>
    <row r="2269" hidden="1" x14ac:dyDescent="0.25"/>
    <row r="2270" hidden="1" x14ac:dyDescent="0.25"/>
    <row r="2271" hidden="1" x14ac:dyDescent="0.25"/>
    <row r="2272" hidden="1" x14ac:dyDescent="0.25"/>
    <row r="2273" hidden="1" x14ac:dyDescent="0.25"/>
    <row r="2274" hidden="1" x14ac:dyDescent="0.25"/>
    <row r="2275" hidden="1" x14ac:dyDescent="0.25"/>
    <row r="2276" hidden="1" x14ac:dyDescent="0.25"/>
    <row r="2277" hidden="1" x14ac:dyDescent="0.25"/>
    <row r="2278" hidden="1" x14ac:dyDescent="0.25"/>
    <row r="2279" hidden="1" x14ac:dyDescent="0.25"/>
    <row r="2280" hidden="1" x14ac:dyDescent="0.25"/>
    <row r="2281" hidden="1" x14ac:dyDescent="0.25"/>
    <row r="2282" hidden="1" x14ac:dyDescent="0.25"/>
    <row r="2283" hidden="1" x14ac:dyDescent="0.25"/>
    <row r="2284" hidden="1" x14ac:dyDescent="0.25"/>
    <row r="2285" hidden="1" x14ac:dyDescent="0.25"/>
    <row r="2286" hidden="1" x14ac:dyDescent="0.25"/>
    <row r="2287" hidden="1" x14ac:dyDescent="0.25"/>
    <row r="2288" hidden="1" x14ac:dyDescent="0.25"/>
    <row r="2289" hidden="1" x14ac:dyDescent="0.25"/>
    <row r="2290" hidden="1" x14ac:dyDescent="0.25"/>
    <row r="2291" hidden="1" x14ac:dyDescent="0.25"/>
    <row r="2292" hidden="1" x14ac:dyDescent="0.25"/>
    <row r="2293" hidden="1" x14ac:dyDescent="0.25"/>
    <row r="2294" hidden="1" x14ac:dyDescent="0.25"/>
    <row r="2295" hidden="1" x14ac:dyDescent="0.25"/>
    <row r="2296" hidden="1" x14ac:dyDescent="0.25"/>
    <row r="2297" hidden="1" x14ac:dyDescent="0.25"/>
    <row r="2298" hidden="1" x14ac:dyDescent="0.25"/>
    <row r="2299" hidden="1" x14ac:dyDescent="0.25"/>
    <row r="2300" hidden="1" x14ac:dyDescent="0.25"/>
    <row r="2301" hidden="1" x14ac:dyDescent="0.25"/>
    <row r="2302" hidden="1" x14ac:dyDescent="0.25"/>
    <row r="2303" hidden="1" x14ac:dyDescent="0.25"/>
    <row r="2304" hidden="1" x14ac:dyDescent="0.25"/>
    <row r="2305" hidden="1" x14ac:dyDescent="0.25"/>
    <row r="2306" hidden="1" x14ac:dyDescent="0.25"/>
    <row r="2307" hidden="1" x14ac:dyDescent="0.25"/>
    <row r="2308" hidden="1" x14ac:dyDescent="0.25"/>
    <row r="2309" hidden="1" x14ac:dyDescent="0.25"/>
    <row r="2310" hidden="1" x14ac:dyDescent="0.25"/>
    <row r="2311" hidden="1" x14ac:dyDescent="0.25"/>
    <row r="2312" hidden="1" x14ac:dyDescent="0.25"/>
    <row r="2313" hidden="1" x14ac:dyDescent="0.25"/>
    <row r="2314" hidden="1" x14ac:dyDescent="0.25"/>
    <row r="2315" hidden="1" x14ac:dyDescent="0.25"/>
    <row r="2316" hidden="1" x14ac:dyDescent="0.25"/>
    <row r="2317" hidden="1" x14ac:dyDescent="0.25"/>
    <row r="2318" hidden="1" x14ac:dyDescent="0.25"/>
    <row r="2319" hidden="1" x14ac:dyDescent="0.25"/>
    <row r="2320" hidden="1" x14ac:dyDescent="0.25"/>
    <row r="2321" hidden="1" x14ac:dyDescent="0.25"/>
    <row r="2322" hidden="1" x14ac:dyDescent="0.25"/>
    <row r="2323" hidden="1" x14ac:dyDescent="0.25"/>
    <row r="2324" hidden="1" x14ac:dyDescent="0.25"/>
    <row r="2325" hidden="1" x14ac:dyDescent="0.25"/>
    <row r="2326" hidden="1" x14ac:dyDescent="0.25"/>
    <row r="2327" hidden="1" x14ac:dyDescent="0.25"/>
    <row r="2328" hidden="1" x14ac:dyDescent="0.25"/>
    <row r="2329" hidden="1" x14ac:dyDescent="0.25"/>
    <row r="2330" hidden="1" x14ac:dyDescent="0.25"/>
    <row r="2331" hidden="1" x14ac:dyDescent="0.25"/>
    <row r="2332" hidden="1" x14ac:dyDescent="0.25"/>
    <row r="2333" hidden="1" x14ac:dyDescent="0.25"/>
    <row r="2334" hidden="1" x14ac:dyDescent="0.25"/>
    <row r="2335" hidden="1" x14ac:dyDescent="0.25"/>
    <row r="2336" hidden="1" x14ac:dyDescent="0.25"/>
    <row r="2337" hidden="1" x14ac:dyDescent="0.25"/>
    <row r="2338" hidden="1" x14ac:dyDescent="0.25"/>
    <row r="2339" hidden="1" x14ac:dyDescent="0.25"/>
    <row r="2340" hidden="1" x14ac:dyDescent="0.25"/>
    <row r="2341" hidden="1" x14ac:dyDescent="0.25"/>
    <row r="2342" hidden="1" x14ac:dyDescent="0.25"/>
    <row r="2343" hidden="1" x14ac:dyDescent="0.25"/>
    <row r="2344" hidden="1" x14ac:dyDescent="0.25"/>
    <row r="2345" hidden="1" x14ac:dyDescent="0.25"/>
    <row r="2346" hidden="1" x14ac:dyDescent="0.25"/>
    <row r="2347" hidden="1" x14ac:dyDescent="0.25"/>
    <row r="2348" hidden="1" x14ac:dyDescent="0.25"/>
    <row r="2349" hidden="1" x14ac:dyDescent="0.25"/>
    <row r="2350" hidden="1" x14ac:dyDescent="0.25"/>
    <row r="2351" hidden="1" x14ac:dyDescent="0.25"/>
    <row r="2352" hidden="1" x14ac:dyDescent="0.25"/>
    <row r="2353" hidden="1" x14ac:dyDescent="0.25"/>
    <row r="2354" hidden="1" x14ac:dyDescent="0.25"/>
    <row r="2355" hidden="1" x14ac:dyDescent="0.25"/>
    <row r="2356" hidden="1" x14ac:dyDescent="0.25"/>
    <row r="2357" hidden="1" x14ac:dyDescent="0.25"/>
    <row r="2358" hidden="1" x14ac:dyDescent="0.25"/>
    <row r="2359" hidden="1" x14ac:dyDescent="0.25"/>
    <row r="2360" hidden="1" x14ac:dyDescent="0.25"/>
    <row r="2361" hidden="1" x14ac:dyDescent="0.25"/>
    <row r="2362" hidden="1" x14ac:dyDescent="0.25"/>
    <row r="2363" hidden="1" x14ac:dyDescent="0.25"/>
    <row r="2364" hidden="1" x14ac:dyDescent="0.25"/>
    <row r="2365" hidden="1" x14ac:dyDescent="0.25"/>
    <row r="2366" hidden="1" x14ac:dyDescent="0.25"/>
    <row r="2367" hidden="1" x14ac:dyDescent="0.25"/>
    <row r="2368" hidden="1" x14ac:dyDescent="0.25"/>
    <row r="2369" hidden="1" x14ac:dyDescent="0.25"/>
    <row r="2370" hidden="1" x14ac:dyDescent="0.25"/>
    <row r="2371" hidden="1" x14ac:dyDescent="0.25"/>
    <row r="2372" hidden="1" x14ac:dyDescent="0.25"/>
    <row r="2373" hidden="1" x14ac:dyDescent="0.25"/>
    <row r="2374" hidden="1" x14ac:dyDescent="0.25"/>
    <row r="2375" hidden="1" x14ac:dyDescent="0.25"/>
    <row r="2376" hidden="1" x14ac:dyDescent="0.25"/>
    <row r="2377" hidden="1" x14ac:dyDescent="0.25"/>
    <row r="2378" hidden="1" x14ac:dyDescent="0.25"/>
    <row r="2379" hidden="1" x14ac:dyDescent="0.25"/>
    <row r="2380" hidden="1" x14ac:dyDescent="0.25"/>
    <row r="2381" hidden="1" x14ac:dyDescent="0.25"/>
    <row r="2382" hidden="1" x14ac:dyDescent="0.25"/>
    <row r="2383" hidden="1" x14ac:dyDescent="0.25"/>
    <row r="2384" hidden="1" x14ac:dyDescent="0.25"/>
    <row r="2385" hidden="1" x14ac:dyDescent="0.25"/>
    <row r="2386" hidden="1" x14ac:dyDescent="0.25"/>
    <row r="2387" hidden="1" x14ac:dyDescent="0.25"/>
    <row r="2388" hidden="1" x14ac:dyDescent="0.25"/>
    <row r="2389" hidden="1" x14ac:dyDescent="0.25"/>
    <row r="2390" hidden="1" x14ac:dyDescent="0.25"/>
    <row r="2391" hidden="1" x14ac:dyDescent="0.25"/>
    <row r="2392" hidden="1" x14ac:dyDescent="0.25"/>
    <row r="2393" hidden="1" x14ac:dyDescent="0.25"/>
    <row r="2394" hidden="1" x14ac:dyDescent="0.25"/>
    <row r="2395" hidden="1" x14ac:dyDescent="0.25"/>
    <row r="2396" hidden="1" x14ac:dyDescent="0.25"/>
    <row r="2397" hidden="1" x14ac:dyDescent="0.25"/>
    <row r="2398" hidden="1" x14ac:dyDescent="0.25"/>
    <row r="2399" hidden="1" x14ac:dyDescent="0.25"/>
    <row r="2400" hidden="1" x14ac:dyDescent="0.25"/>
    <row r="2401" hidden="1" x14ac:dyDescent="0.25"/>
    <row r="2402" hidden="1" x14ac:dyDescent="0.25"/>
    <row r="2403" hidden="1" x14ac:dyDescent="0.25"/>
    <row r="2404" hidden="1" x14ac:dyDescent="0.25"/>
    <row r="2405" hidden="1" x14ac:dyDescent="0.25"/>
    <row r="2406" hidden="1" x14ac:dyDescent="0.25"/>
    <row r="2407" hidden="1" x14ac:dyDescent="0.25"/>
    <row r="2408" hidden="1" x14ac:dyDescent="0.25"/>
    <row r="2409" hidden="1" x14ac:dyDescent="0.25"/>
    <row r="2410" hidden="1" x14ac:dyDescent="0.25"/>
    <row r="2411" hidden="1" x14ac:dyDescent="0.25"/>
    <row r="2412" hidden="1" x14ac:dyDescent="0.25"/>
    <row r="2413" hidden="1" x14ac:dyDescent="0.25"/>
    <row r="2414" hidden="1" x14ac:dyDescent="0.25"/>
    <row r="2415" hidden="1" x14ac:dyDescent="0.25"/>
    <row r="2416" hidden="1" x14ac:dyDescent="0.25"/>
    <row r="2417" hidden="1" x14ac:dyDescent="0.25"/>
    <row r="2418" hidden="1" x14ac:dyDescent="0.25"/>
    <row r="2419" hidden="1" x14ac:dyDescent="0.25"/>
    <row r="2420" hidden="1" x14ac:dyDescent="0.25"/>
    <row r="2421" hidden="1" x14ac:dyDescent="0.25"/>
    <row r="2422" hidden="1" x14ac:dyDescent="0.25"/>
    <row r="2423" hidden="1" x14ac:dyDescent="0.25"/>
    <row r="2424" hidden="1" x14ac:dyDescent="0.25"/>
    <row r="2425" hidden="1" x14ac:dyDescent="0.25"/>
    <row r="2426" hidden="1" x14ac:dyDescent="0.25"/>
    <row r="2427" hidden="1" x14ac:dyDescent="0.25"/>
    <row r="2428" hidden="1" x14ac:dyDescent="0.25"/>
    <row r="2429" hidden="1" x14ac:dyDescent="0.25"/>
    <row r="2430" hidden="1" x14ac:dyDescent="0.25"/>
    <row r="2431" hidden="1" x14ac:dyDescent="0.25"/>
    <row r="2432" hidden="1" x14ac:dyDescent="0.25"/>
    <row r="2433" hidden="1" x14ac:dyDescent="0.25"/>
    <row r="2434" hidden="1" x14ac:dyDescent="0.25"/>
    <row r="2435" hidden="1" x14ac:dyDescent="0.25"/>
    <row r="2436" hidden="1" x14ac:dyDescent="0.25"/>
    <row r="2437" hidden="1" x14ac:dyDescent="0.25"/>
    <row r="2438" hidden="1" x14ac:dyDescent="0.25"/>
    <row r="2439" hidden="1" x14ac:dyDescent="0.25"/>
    <row r="2440" hidden="1" x14ac:dyDescent="0.25"/>
    <row r="2441" hidden="1" x14ac:dyDescent="0.25"/>
    <row r="2442" hidden="1" x14ac:dyDescent="0.25"/>
    <row r="2443" hidden="1" x14ac:dyDescent="0.25"/>
    <row r="2444" hidden="1" x14ac:dyDescent="0.25"/>
    <row r="2445" hidden="1" x14ac:dyDescent="0.25"/>
    <row r="2446" hidden="1" x14ac:dyDescent="0.25"/>
    <row r="2447" hidden="1" x14ac:dyDescent="0.25"/>
    <row r="2448" hidden="1" x14ac:dyDescent="0.25"/>
    <row r="2449" hidden="1" x14ac:dyDescent="0.25"/>
    <row r="2450" hidden="1" x14ac:dyDescent="0.25"/>
    <row r="2451" hidden="1" x14ac:dyDescent="0.25"/>
    <row r="2452" hidden="1" x14ac:dyDescent="0.25"/>
    <row r="2453" hidden="1" x14ac:dyDescent="0.25"/>
    <row r="2454" hidden="1" x14ac:dyDescent="0.25"/>
    <row r="2455" hidden="1" x14ac:dyDescent="0.25"/>
    <row r="2456" hidden="1" x14ac:dyDescent="0.25"/>
    <row r="2457" hidden="1" x14ac:dyDescent="0.25"/>
    <row r="2458" hidden="1" x14ac:dyDescent="0.25"/>
    <row r="2459" hidden="1" x14ac:dyDescent="0.25"/>
    <row r="2460" hidden="1" x14ac:dyDescent="0.25"/>
    <row r="2461" hidden="1" x14ac:dyDescent="0.25"/>
    <row r="2462" hidden="1" x14ac:dyDescent="0.25"/>
    <row r="2463" hidden="1" x14ac:dyDescent="0.25"/>
    <row r="2464" hidden="1" x14ac:dyDescent="0.25"/>
    <row r="2465" hidden="1" x14ac:dyDescent="0.25"/>
    <row r="2466" hidden="1" x14ac:dyDescent="0.25"/>
    <row r="2467" hidden="1" x14ac:dyDescent="0.25"/>
    <row r="2468" hidden="1" x14ac:dyDescent="0.25"/>
    <row r="2469" hidden="1" x14ac:dyDescent="0.25"/>
    <row r="2470" hidden="1" x14ac:dyDescent="0.25"/>
    <row r="2471" hidden="1" x14ac:dyDescent="0.25"/>
    <row r="2472" hidden="1" x14ac:dyDescent="0.25"/>
    <row r="2473" hidden="1" x14ac:dyDescent="0.25"/>
    <row r="2474" hidden="1" x14ac:dyDescent="0.25"/>
    <row r="2475" hidden="1" x14ac:dyDescent="0.25"/>
    <row r="2476" hidden="1" x14ac:dyDescent="0.25"/>
    <row r="2477" hidden="1" x14ac:dyDescent="0.25"/>
    <row r="2478" hidden="1" x14ac:dyDescent="0.25"/>
    <row r="2479" hidden="1" x14ac:dyDescent="0.25"/>
    <row r="2480" hidden="1" x14ac:dyDescent="0.25"/>
    <row r="2481" hidden="1" x14ac:dyDescent="0.25"/>
    <row r="2482" hidden="1" x14ac:dyDescent="0.25"/>
    <row r="2483" hidden="1" x14ac:dyDescent="0.25"/>
    <row r="2484" hidden="1" x14ac:dyDescent="0.25"/>
    <row r="2485" hidden="1" x14ac:dyDescent="0.25"/>
    <row r="2486" hidden="1" x14ac:dyDescent="0.25"/>
    <row r="2487" hidden="1" x14ac:dyDescent="0.25"/>
    <row r="2488" hidden="1" x14ac:dyDescent="0.25"/>
    <row r="2489" hidden="1" x14ac:dyDescent="0.25"/>
    <row r="2490" hidden="1" x14ac:dyDescent="0.25"/>
    <row r="2491" hidden="1" x14ac:dyDescent="0.25"/>
    <row r="2492" hidden="1" x14ac:dyDescent="0.25"/>
    <row r="2493" hidden="1" x14ac:dyDescent="0.25"/>
    <row r="2494" hidden="1" x14ac:dyDescent="0.25"/>
    <row r="2495" hidden="1" x14ac:dyDescent="0.25"/>
    <row r="2496" hidden="1" x14ac:dyDescent="0.25"/>
    <row r="2497" hidden="1" x14ac:dyDescent="0.25"/>
    <row r="2498" hidden="1" x14ac:dyDescent="0.25"/>
    <row r="2499" hidden="1" x14ac:dyDescent="0.25"/>
    <row r="2500" hidden="1" x14ac:dyDescent="0.25"/>
    <row r="2501" hidden="1" x14ac:dyDescent="0.25"/>
    <row r="2502" hidden="1" x14ac:dyDescent="0.25"/>
    <row r="2503" hidden="1" x14ac:dyDescent="0.25"/>
    <row r="2504" hidden="1" x14ac:dyDescent="0.25"/>
    <row r="2505" hidden="1" x14ac:dyDescent="0.25"/>
    <row r="2506" hidden="1" x14ac:dyDescent="0.25"/>
    <row r="2507" hidden="1" x14ac:dyDescent="0.25"/>
    <row r="2508" hidden="1" x14ac:dyDescent="0.25"/>
    <row r="2509" hidden="1" x14ac:dyDescent="0.25"/>
    <row r="2510" hidden="1" x14ac:dyDescent="0.25"/>
    <row r="2511" hidden="1" x14ac:dyDescent="0.25"/>
    <row r="2512" hidden="1" x14ac:dyDescent="0.25"/>
    <row r="2513" hidden="1" x14ac:dyDescent="0.25"/>
    <row r="2514" hidden="1" x14ac:dyDescent="0.25"/>
    <row r="2515" hidden="1" x14ac:dyDescent="0.25"/>
    <row r="2516" hidden="1" x14ac:dyDescent="0.25"/>
    <row r="2517" hidden="1" x14ac:dyDescent="0.25"/>
    <row r="2518" hidden="1" x14ac:dyDescent="0.25"/>
    <row r="2519" hidden="1" x14ac:dyDescent="0.25"/>
    <row r="2520" hidden="1" x14ac:dyDescent="0.25"/>
    <row r="2521" hidden="1" x14ac:dyDescent="0.25"/>
    <row r="2522" hidden="1" x14ac:dyDescent="0.25"/>
    <row r="2523" hidden="1" x14ac:dyDescent="0.25"/>
    <row r="2524" hidden="1" x14ac:dyDescent="0.25"/>
    <row r="2525" hidden="1" x14ac:dyDescent="0.25"/>
    <row r="2526" hidden="1" x14ac:dyDescent="0.25"/>
    <row r="2527" hidden="1" x14ac:dyDescent="0.25"/>
    <row r="2528" hidden="1" x14ac:dyDescent="0.25"/>
    <row r="2529" hidden="1" x14ac:dyDescent="0.25"/>
    <row r="2530" hidden="1" x14ac:dyDescent="0.25"/>
    <row r="2531" hidden="1" x14ac:dyDescent="0.25"/>
    <row r="2532" hidden="1" x14ac:dyDescent="0.25"/>
    <row r="2533" hidden="1" x14ac:dyDescent="0.25"/>
    <row r="2534" hidden="1" x14ac:dyDescent="0.25"/>
    <row r="2535" hidden="1" x14ac:dyDescent="0.25"/>
    <row r="2536" hidden="1" x14ac:dyDescent="0.25"/>
    <row r="2537" hidden="1" x14ac:dyDescent="0.25"/>
    <row r="2538" hidden="1" x14ac:dyDescent="0.25"/>
    <row r="2539" hidden="1" x14ac:dyDescent="0.25"/>
    <row r="2540" hidden="1" x14ac:dyDescent="0.25"/>
    <row r="2541" hidden="1" x14ac:dyDescent="0.25"/>
    <row r="2542" hidden="1" x14ac:dyDescent="0.25"/>
    <row r="2543" hidden="1" x14ac:dyDescent="0.25"/>
    <row r="2544" hidden="1" x14ac:dyDescent="0.25"/>
    <row r="2545" hidden="1" x14ac:dyDescent="0.25"/>
    <row r="2546" hidden="1" x14ac:dyDescent="0.25"/>
    <row r="2547" hidden="1" x14ac:dyDescent="0.25"/>
    <row r="2548" hidden="1" x14ac:dyDescent="0.25"/>
    <row r="2549" hidden="1" x14ac:dyDescent="0.25"/>
    <row r="2550" hidden="1" x14ac:dyDescent="0.25"/>
    <row r="2551" hidden="1" x14ac:dyDescent="0.25"/>
    <row r="2552" hidden="1" x14ac:dyDescent="0.25"/>
    <row r="2553" hidden="1" x14ac:dyDescent="0.25"/>
    <row r="2554" hidden="1" x14ac:dyDescent="0.25"/>
    <row r="2555" hidden="1" x14ac:dyDescent="0.25"/>
    <row r="2556" hidden="1" x14ac:dyDescent="0.25"/>
    <row r="2557" hidden="1" x14ac:dyDescent="0.25"/>
    <row r="2558" hidden="1" x14ac:dyDescent="0.25"/>
    <row r="2559" hidden="1" x14ac:dyDescent="0.25"/>
    <row r="2560" hidden="1" x14ac:dyDescent="0.25"/>
    <row r="2561" hidden="1" x14ac:dyDescent="0.25"/>
    <row r="2562" hidden="1" x14ac:dyDescent="0.25"/>
    <row r="2563" hidden="1" x14ac:dyDescent="0.25"/>
    <row r="2564" hidden="1" x14ac:dyDescent="0.25"/>
    <row r="2565" hidden="1" x14ac:dyDescent="0.25"/>
    <row r="2566" hidden="1" x14ac:dyDescent="0.25"/>
    <row r="2567" hidden="1" x14ac:dyDescent="0.25"/>
    <row r="2568" hidden="1" x14ac:dyDescent="0.25"/>
    <row r="2569" hidden="1" x14ac:dyDescent="0.25"/>
    <row r="2570" hidden="1" x14ac:dyDescent="0.25"/>
    <row r="2571" hidden="1" x14ac:dyDescent="0.25"/>
    <row r="2572" hidden="1" x14ac:dyDescent="0.25"/>
    <row r="2573" hidden="1" x14ac:dyDescent="0.25"/>
    <row r="2574" hidden="1" x14ac:dyDescent="0.25"/>
    <row r="2575" hidden="1" x14ac:dyDescent="0.25"/>
    <row r="2576" hidden="1" x14ac:dyDescent="0.25"/>
    <row r="2577" hidden="1" x14ac:dyDescent="0.25"/>
    <row r="2578" hidden="1" x14ac:dyDescent="0.25"/>
    <row r="2579" hidden="1" x14ac:dyDescent="0.25"/>
    <row r="2580" hidden="1" x14ac:dyDescent="0.25"/>
    <row r="2581" hidden="1" x14ac:dyDescent="0.25"/>
    <row r="2582" hidden="1" x14ac:dyDescent="0.25"/>
    <row r="2583" hidden="1" x14ac:dyDescent="0.25"/>
    <row r="2584" hidden="1" x14ac:dyDescent="0.25"/>
    <row r="2585" hidden="1" x14ac:dyDescent="0.25"/>
    <row r="2586" hidden="1" x14ac:dyDescent="0.25"/>
    <row r="2587" hidden="1" x14ac:dyDescent="0.25"/>
    <row r="2588" hidden="1" x14ac:dyDescent="0.25"/>
    <row r="2589" hidden="1" x14ac:dyDescent="0.25"/>
    <row r="2590" hidden="1" x14ac:dyDescent="0.25"/>
    <row r="2591" hidden="1" x14ac:dyDescent="0.25"/>
    <row r="2592" hidden="1" x14ac:dyDescent="0.25"/>
    <row r="2593" hidden="1" x14ac:dyDescent="0.25"/>
    <row r="2594" hidden="1" x14ac:dyDescent="0.25"/>
    <row r="2595" hidden="1" x14ac:dyDescent="0.25"/>
    <row r="2596" hidden="1" x14ac:dyDescent="0.25"/>
    <row r="2597" hidden="1" x14ac:dyDescent="0.25"/>
    <row r="2598" hidden="1" x14ac:dyDescent="0.25"/>
    <row r="2599" hidden="1" x14ac:dyDescent="0.25"/>
    <row r="2600" hidden="1" x14ac:dyDescent="0.25"/>
    <row r="2601" hidden="1" x14ac:dyDescent="0.25"/>
    <row r="2602" hidden="1" x14ac:dyDescent="0.25"/>
    <row r="2603" hidden="1" x14ac:dyDescent="0.25"/>
    <row r="2604" hidden="1" x14ac:dyDescent="0.25"/>
    <row r="2605" hidden="1" x14ac:dyDescent="0.25"/>
    <row r="2606" hidden="1" x14ac:dyDescent="0.25"/>
    <row r="2607" hidden="1" x14ac:dyDescent="0.25"/>
    <row r="2608" hidden="1" x14ac:dyDescent="0.25"/>
    <row r="2609" hidden="1" x14ac:dyDescent="0.25"/>
    <row r="2610" hidden="1" x14ac:dyDescent="0.25"/>
    <row r="2611" hidden="1" x14ac:dyDescent="0.25"/>
    <row r="2612" hidden="1" x14ac:dyDescent="0.25"/>
    <row r="2613" hidden="1" x14ac:dyDescent="0.25"/>
    <row r="2614" hidden="1" x14ac:dyDescent="0.25"/>
    <row r="2615" hidden="1" x14ac:dyDescent="0.25"/>
    <row r="2616" hidden="1" x14ac:dyDescent="0.25"/>
    <row r="2617" hidden="1" x14ac:dyDescent="0.25"/>
    <row r="2618" hidden="1" x14ac:dyDescent="0.25"/>
    <row r="2619" hidden="1" x14ac:dyDescent="0.25"/>
    <row r="2620" hidden="1" x14ac:dyDescent="0.25"/>
    <row r="2621" hidden="1" x14ac:dyDescent="0.25"/>
    <row r="2622" hidden="1" x14ac:dyDescent="0.25"/>
    <row r="2623" hidden="1" x14ac:dyDescent="0.25"/>
    <row r="2624" hidden="1" x14ac:dyDescent="0.25"/>
    <row r="2625" hidden="1" x14ac:dyDescent="0.25"/>
    <row r="2626" hidden="1" x14ac:dyDescent="0.25"/>
    <row r="2627" hidden="1" x14ac:dyDescent="0.25"/>
    <row r="2628" hidden="1" x14ac:dyDescent="0.25"/>
    <row r="2629" hidden="1" x14ac:dyDescent="0.25"/>
    <row r="2630" hidden="1" x14ac:dyDescent="0.25"/>
    <row r="2631" hidden="1" x14ac:dyDescent="0.25"/>
    <row r="2632" hidden="1" x14ac:dyDescent="0.25"/>
    <row r="2633" hidden="1" x14ac:dyDescent="0.25"/>
    <row r="2634" hidden="1" x14ac:dyDescent="0.25"/>
    <row r="2635" hidden="1" x14ac:dyDescent="0.25"/>
    <row r="2636" hidden="1" x14ac:dyDescent="0.25"/>
    <row r="2637" hidden="1" x14ac:dyDescent="0.25"/>
    <row r="2638" hidden="1" x14ac:dyDescent="0.25"/>
    <row r="2639" hidden="1" x14ac:dyDescent="0.25"/>
    <row r="2640" hidden="1" x14ac:dyDescent="0.25"/>
    <row r="2641" hidden="1" x14ac:dyDescent="0.25"/>
    <row r="2642" hidden="1" x14ac:dyDescent="0.25"/>
    <row r="2643" hidden="1" x14ac:dyDescent="0.25"/>
    <row r="2644" hidden="1" x14ac:dyDescent="0.25"/>
    <row r="2645" hidden="1" x14ac:dyDescent="0.25"/>
    <row r="2646" hidden="1" x14ac:dyDescent="0.25"/>
    <row r="2647" hidden="1" x14ac:dyDescent="0.25"/>
    <row r="2648" hidden="1" x14ac:dyDescent="0.25"/>
    <row r="2649" hidden="1" x14ac:dyDescent="0.25"/>
    <row r="2650" hidden="1" x14ac:dyDescent="0.25"/>
    <row r="2651" hidden="1" x14ac:dyDescent="0.25"/>
    <row r="2652" hidden="1" x14ac:dyDescent="0.25"/>
    <row r="2653" hidden="1" x14ac:dyDescent="0.25"/>
    <row r="2654" hidden="1" x14ac:dyDescent="0.25"/>
    <row r="2655" hidden="1" x14ac:dyDescent="0.25"/>
    <row r="2656" hidden="1" x14ac:dyDescent="0.25"/>
    <row r="2657" hidden="1" x14ac:dyDescent="0.25"/>
    <row r="2658" hidden="1" x14ac:dyDescent="0.25"/>
    <row r="2659" hidden="1" x14ac:dyDescent="0.25"/>
    <row r="2660" hidden="1" x14ac:dyDescent="0.25"/>
    <row r="2661" hidden="1" x14ac:dyDescent="0.25"/>
    <row r="2662" hidden="1" x14ac:dyDescent="0.25"/>
    <row r="2663" hidden="1" x14ac:dyDescent="0.25"/>
    <row r="2664" hidden="1" x14ac:dyDescent="0.25"/>
    <row r="2665" hidden="1" x14ac:dyDescent="0.25"/>
    <row r="2666" hidden="1" x14ac:dyDescent="0.25"/>
    <row r="2667" hidden="1" x14ac:dyDescent="0.25"/>
    <row r="2668" hidden="1" x14ac:dyDescent="0.25"/>
    <row r="2669" hidden="1" x14ac:dyDescent="0.25"/>
    <row r="2670" hidden="1" x14ac:dyDescent="0.25"/>
    <row r="2671" hidden="1" x14ac:dyDescent="0.25"/>
    <row r="2672" hidden="1" x14ac:dyDescent="0.25"/>
    <row r="2673" hidden="1" x14ac:dyDescent="0.25"/>
    <row r="2674" hidden="1" x14ac:dyDescent="0.25"/>
    <row r="2675" hidden="1" x14ac:dyDescent="0.25"/>
    <row r="2676" hidden="1" x14ac:dyDescent="0.25"/>
    <row r="2677" hidden="1" x14ac:dyDescent="0.25"/>
    <row r="2678" hidden="1" x14ac:dyDescent="0.25"/>
    <row r="2679" hidden="1" x14ac:dyDescent="0.25"/>
    <row r="2680" hidden="1" x14ac:dyDescent="0.25"/>
    <row r="2681" hidden="1" x14ac:dyDescent="0.25"/>
    <row r="2682" hidden="1" x14ac:dyDescent="0.25"/>
    <row r="2683" hidden="1" x14ac:dyDescent="0.25"/>
    <row r="2684" hidden="1" x14ac:dyDescent="0.25"/>
    <row r="2685" hidden="1" x14ac:dyDescent="0.25"/>
    <row r="2686" hidden="1" x14ac:dyDescent="0.25"/>
    <row r="2687" hidden="1" x14ac:dyDescent="0.25"/>
    <row r="2688" hidden="1" x14ac:dyDescent="0.25"/>
    <row r="2689" hidden="1" x14ac:dyDescent="0.25"/>
    <row r="2690" hidden="1" x14ac:dyDescent="0.25"/>
    <row r="2691" hidden="1" x14ac:dyDescent="0.25"/>
    <row r="2692" hidden="1" x14ac:dyDescent="0.25"/>
    <row r="2693" hidden="1" x14ac:dyDescent="0.25"/>
    <row r="2694" hidden="1" x14ac:dyDescent="0.25"/>
    <row r="2695" hidden="1" x14ac:dyDescent="0.25"/>
    <row r="2696" hidden="1" x14ac:dyDescent="0.25"/>
    <row r="2697" hidden="1" x14ac:dyDescent="0.25"/>
    <row r="2698" hidden="1" x14ac:dyDescent="0.25"/>
    <row r="2699" hidden="1" x14ac:dyDescent="0.25"/>
    <row r="2700" hidden="1" x14ac:dyDescent="0.25"/>
    <row r="2701" hidden="1" x14ac:dyDescent="0.25"/>
    <row r="2702" hidden="1" x14ac:dyDescent="0.25"/>
    <row r="2703" hidden="1" x14ac:dyDescent="0.25"/>
    <row r="2704" hidden="1" x14ac:dyDescent="0.25"/>
    <row r="2705" hidden="1" x14ac:dyDescent="0.25"/>
    <row r="2706" hidden="1" x14ac:dyDescent="0.25"/>
    <row r="2707" hidden="1" x14ac:dyDescent="0.25"/>
    <row r="2708" hidden="1" x14ac:dyDescent="0.25"/>
    <row r="2709" hidden="1" x14ac:dyDescent="0.25"/>
    <row r="2710" hidden="1" x14ac:dyDescent="0.25"/>
    <row r="2711" hidden="1" x14ac:dyDescent="0.25"/>
    <row r="2712" hidden="1" x14ac:dyDescent="0.25"/>
    <row r="2713" hidden="1" x14ac:dyDescent="0.25"/>
    <row r="2714" hidden="1" x14ac:dyDescent="0.25"/>
    <row r="2715" hidden="1" x14ac:dyDescent="0.25"/>
    <row r="2716" hidden="1" x14ac:dyDescent="0.25"/>
    <row r="2717" hidden="1" x14ac:dyDescent="0.25"/>
    <row r="2718" hidden="1" x14ac:dyDescent="0.25"/>
    <row r="2719" hidden="1" x14ac:dyDescent="0.25"/>
    <row r="2720" hidden="1" x14ac:dyDescent="0.25"/>
    <row r="2721" hidden="1" x14ac:dyDescent="0.25"/>
    <row r="2722" hidden="1" x14ac:dyDescent="0.25"/>
    <row r="2723" hidden="1" x14ac:dyDescent="0.25"/>
    <row r="2724" hidden="1" x14ac:dyDescent="0.25"/>
    <row r="2725" hidden="1" x14ac:dyDescent="0.25"/>
    <row r="2726" hidden="1" x14ac:dyDescent="0.25"/>
    <row r="2727" hidden="1" x14ac:dyDescent="0.25"/>
    <row r="2728" hidden="1" x14ac:dyDescent="0.25"/>
    <row r="2729" hidden="1" x14ac:dyDescent="0.25"/>
    <row r="2730" hidden="1" x14ac:dyDescent="0.25"/>
    <row r="2731" hidden="1" x14ac:dyDescent="0.25"/>
    <row r="2732" hidden="1" x14ac:dyDescent="0.25"/>
    <row r="2733" hidden="1" x14ac:dyDescent="0.25"/>
    <row r="2734" hidden="1" x14ac:dyDescent="0.25"/>
    <row r="2735" hidden="1" x14ac:dyDescent="0.25"/>
    <row r="2736" hidden="1" x14ac:dyDescent="0.25"/>
    <row r="2737" hidden="1" x14ac:dyDescent="0.25"/>
    <row r="2738" hidden="1" x14ac:dyDescent="0.25"/>
    <row r="2739" hidden="1" x14ac:dyDescent="0.25"/>
    <row r="2740" hidden="1" x14ac:dyDescent="0.25"/>
    <row r="2741" hidden="1" x14ac:dyDescent="0.25"/>
    <row r="2742" hidden="1" x14ac:dyDescent="0.25"/>
    <row r="2743" hidden="1" x14ac:dyDescent="0.25"/>
    <row r="2744" hidden="1" x14ac:dyDescent="0.25"/>
    <row r="2745" hidden="1" x14ac:dyDescent="0.25"/>
    <row r="2746" hidden="1" x14ac:dyDescent="0.25"/>
    <row r="2747" hidden="1" x14ac:dyDescent="0.25"/>
    <row r="2748" hidden="1" x14ac:dyDescent="0.25"/>
    <row r="2749" hidden="1" x14ac:dyDescent="0.25"/>
    <row r="2750" hidden="1" x14ac:dyDescent="0.25"/>
    <row r="2751" hidden="1" x14ac:dyDescent="0.25"/>
    <row r="2752" hidden="1" x14ac:dyDescent="0.25"/>
    <row r="2753" hidden="1" x14ac:dyDescent="0.25"/>
    <row r="2754" hidden="1" x14ac:dyDescent="0.25"/>
    <row r="2755" hidden="1" x14ac:dyDescent="0.25"/>
    <row r="2756" hidden="1" x14ac:dyDescent="0.25"/>
    <row r="2757" hidden="1" x14ac:dyDescent="0.25"/>
    <row r="2758" hidden="1" x14ac:dyDescent="0.25"/>
    <row r="2759" hidden="1" x14ac:dyDescent="0.25"/>
    <row r="2760" hidden="1" x14ac:dyDescent="0.25"/>
    <row r="2761" hidden="1" x14ac:dyDescent="0.25"/>
    <row r="2762" hidden="1" x14ac:dyDescent="0.25"/>
    <row r="2763" hidden="1" x14ac:dyDescent="0.25"/>
    <row r="2764" hidden="1" x14ac:dyDescent="0.25"/>
    <row r="2765" hidden="1" x14ac:dyDescent="0.25"/>
    <row r="2766" hidden="1" x14ac:dyDescent="0.25"/>
    <row r="2767" hidden="1" x14ac:dyDescent="0.25"/>
    <row r="2768" hidden="1" x14ac:dyDescent="0.25"/>
    <row r="2769" hidden="1" x14ac:dyDescent="0.25"/>
    <row r="2770" hidden="1" x14ac:dyDescent="0.25"/>
    <row r="2771" hidden="1" x14ac:dyDescent="0.25"/>
    <row r="2772" hidden="1" x14ac:dyDescent="0.25"/>
    <row r="2773" hidden="1" x14ac:dyDescent="0.25"/>
    <row r="2774" hidden="1" x14ac:dyDescent="0.25"/>
    <row r="2775" hidden="1" x14ac:dyDescent="0.25"/>
    <row r="2776" hidden="1" x14ac:dyDescent="0.25"/>
    <row r="2777" hidden="1" x14ac:dyDescent="0.25"/>
    <row r="2778" hidden="1" x14ac:dyDescent="0.25"/>
    <row r="2779" hidden="1" x14ac:dyDescent="0.25"/>
    <row r="2780" hidden="1" x14ac:dyDescent="0.25"/>
    <row r="2781" hidden="1" x14ac:dyDescent="0.25"/>
    <row r="2782" hidden="1" x14ac:dyDescent="0.25"/>
    <row r="2783" hidden="1" x14ac:dyDescent="0.25"/>
    <row r="2784" hidden="1" x14ac:dyDescent="0.25"/>
    <row r="2785" hidden="1" x14ac:dyDescent="0.25"/>
    <row r="2786" hidden="1" x14ac:dyDescent="0.25"/>
    <row r="2787" hidden="1" x14ac:dyDescent="0.25"/>
    <row r="2788" hidden="1" x14ac:dyDescent="0.25"/>
    <row r="2789" hidden="1" x14ac:dyDescent="0.25"/>
    <row r="2790" hidden="1" x14ac:dyDescent="0.25"/>
    <row r="2791" hidden="1" x14ac:dyDescent="0.25"/>
    <row r="2792" hidden="1" x14ac:dyDescent="0.25"/>
    <row r="2793" hidden="1" x14ac:dyDescent="0.25"/>
    <row r="2794" hidden="1" x14ac:dyDescent="0.25"/>
    <row r="2795" hidden="1" x14ac:dyDescent="0.25"/>
    <row r="2796" hidden="1" x14ac:dyDescent="0.25"/>
    <row r="2797" hidden="1" x14ac:dyDescent="0.25"/>
    <row r="2798" hidden="1" x14ac:dyDescent="0.25"/>
    <row r="2799" hidden="1" x14ac:dyDescent="0.25"/>
    <row r="2800" hidden="1" x14ac:dyDescent="0.25"/>
    <row r="2801" hidden="1" x14ac:dyDescent="0.25"/>
    <row r="2802" hidden="1" x14ac:dyDescent="0.25"/>
    <row r="2803" hidden="1" x14ac:dyDescent="0.25"/>
    <row r="2804" hidden="1" x14ac:dyDescent="0.25"/>
    <row r="2805" hidden="1" x14ac:dyDescent="0.25"/>
    <row r="2806" hidden="1" x14ac:dyDescent="0.25"/>
    <row r="2807" hidden="1" x14ac:dyDescent="0.25"/>
    <row r="2808" hidden="1" x14ac:dyDescent="0.25"/>
    <row r="2809" hidden="1" x14ac:dyDescent="0.25"/>
    <row r="2810" hidden="1" x14ac:dyDescent="0.25"/>
    <row r="2811" hidden="1" x14ac:dyDescent="0.25"/>
    <row r="2812" hidden="1" x14ac:dyDescent="0.25"/>
    <row r="2813" hidden="1" x14ac:dyDescent="0.25"/>
    <row r="2814" hidden="1" x14ac:dyDescent="0.25"/>
    <row r="2815" hidden="1" x14ac:dyDescent="0.25"/>
    <row r="2816" hidden="1" x14ac:dyDescent="0.25"/>
    <row r="2817" hidden="1" x14ac:dyDescent="0.25"/>
    <row r="2818" hidden="1" x14ac:dyDescent="0.25"/>
    <row r="2819" hidden="1" x14ac:dyDescent="0.25"/>
    <row r="2820" hidden="1" x14ac:dyDescent="0.25"/>
    <row r="2821" hidden="1" x14ac:dyDescent="0.25"/>
    <row r="2822" hidden="1" x14ac:dyDescent="0.25"/>
    <row r="2823" hidden="1" x14ac:dyDescent="0.25"/>
    <row r="2824" hidden="1" x14ac:dyDescent="0.25"/>
    <row r="2825" hidden="1" x14ac:dyDescent="0.25"/>
    <row r="2826" hidden="1" x14ac:dyDescent="0.25"/>
    <row r="2827" hidden="1" x14ac:dyDescent="0.25"/>
    <row r="2828" hidden="1" x14ac:dyDescent="0.25"/>
    <row r="2829" hidden="1" x14ac:dyDescent="0.25"/>
    <row r="2830" hidden="1" x14ac:dyDescent="0.25"/>
    <row r="2831" hidden="1" x14ac:dyDescent="0.25"/>
    <row r="2832" hidden="1" x14ac:dyDescent="0.25"/>
    <row r="2833" hidden="1" x14ac:dyDescent="0.25"/>
    <row r="2834" hidden="1" x14ac:dyDescent="0.25"/>
    <row r="2835" hidden="1" x14ac:dyDescent="0.25"/>
    <row r="2836" hidden="1" x14ac:dyDescent="0.25"/>
    <row r="2837" hidden="1" x14ac:dyDescent="0.25"/>
    <row r="2838" hidden="1" x14ac:dyDescent="0.25"/>
    <row r="2839" hidden="1" x14ac:dyDescent="0.25"/>
    <row r="2840" hidden="1" x14ac:dyDescent="0.25"/>
    <row r="2841" hidden="1" x14ac:dyDescent="0.25"/>
    <row r="2842" hidden="1" x14ac:dyDescent="0.25"/>
    <row r="2843" hidden="1" x14ac:dyDescent="0.25"/>
    <row r="2844" hidden="1" x14ac:dyDescent="0.25"/>
    <row r="2845" hidden="1" x14ac:dyDescent="0.25"/>
    <row r="2846" hidden="1" x14ac:dyDescent="0.25"/>
    <row r="2847" hidden="1" x14ac:dyDescent="0.25"/>
    <row r="2848" hidden="1" x14ac:dyDescent="0.25"/>
    <row r="2849" hidden="1" x14ac:dyDescent="0.25"/>
    <row r="2850" hidden="1" x14ac:dyDescent="0.25"/>
    <row r="2851" hidden="1" x14ac:dyDescent="0.25"/>
    <row r="2852" hidden="1" x14ac:dyDescent="0.25"/>
    <row r="2853" hidden="1" x14ac:dyDescent="0.25"/>
    <row r="2854" hidden="1" x14ac:dyDescent="0.25"/>
    <row r="2855" hidden="1" x14ac:dyDescent="0.25"/>
    <row r="2856" hidden="1" x14ac:dyDescent="0.25"/>
    <row r="2857" hidden="1" x14ac:dyDescent="0.25"/>
    <row r="2858" hidden="1" x14ac:dyDescent="0.25"/>
    <row r="2859" hidden="1" x14ac:dyDescent="0.25"/>
    <row r="2860" hidden="1" x14ac:dyDescent="0.25"/>
    <row r="2861" hidden="1" x14ac:dyDescent="0.25"/>
    <row r="2862" hidden="1" x14ac:dyDescent="0.25"/>
    <row r="2863" hidden="1" x14ac:dyDescent="0.25"/>
    <row r="2864" hidden="1" x14ac:dyDescent="0.25"/>
    <row r="2865" hidden="1" x14ac:dyDescent="0.25"/>
    <row r="2866" hidden="1" x14ac:dyDescent="0.25"/>
    <row r="2867" hidden="1" x14ac:dyDescent="0.25"/>
    <row r="2868" hidden="1" x14ac:dyDescent="0.25"/>
    <row r="2869" hidden="1" x14ac:dyDescent="0.25"/>
    <row r="2870" hidden="1" x14ac:dyDescent="0.25"/>
    <row r="2871" hidden="1" x14ac:dyDescent="0.25"/>
    <row r="2872" hidden="1" x14ac:dyDescent="0.25"/>
    <row r="2873" hidden="1" x14ac:dyDescent="0.25"/>
    <row r="2874" hidden="1" x14ac:dyDescent="0.25"/>
    <row r="2875" hidden="1" x14ac:dyDescent="0.25"/>
    <row r="2876" hidden="1" x14ac:dyDescent="0.25"/>
    <row r="2877" hidden="1" x14ac:dyDescent="0.25"/>
    <row r="2878" hidden="1" x14ac:dyDescent="0.25"/>
    <row r="2879" hidden="1" x14ac:dyDescent="0.25"/>
    <row r="2880" hidden="1" x14ac:dyDescent="0.25"/>
    <row r="2881" hidden="1" x14ac:dyDescent="0.25"/>
    <row r="2882" hidden="1" x14ac:dyDescent="0.25"/>
    <row r="2883" hidden="1" x14ac:dyDescent="0.25"/>
    <row r="2884" hidden="1" x14ac:dyDescent="0.25"/>
    <row r="2885" hidden="1" x14ac:dyDescent="0.25"/>
    <row r="2886" hidden="1" x14ac:dyDescent="0.25"/>
    <row r="2887" hidden="1" x14ac:dyDescent="0.25"/>
    <row r="2888" hidden="1" x14ac:dyDescent="0.25"/>
    <row r="2889" hidden="1" x14ac:dyDescent="0.25"/>
    <row r="2890" hidden="1" x14ac:dyDescent="0.25"/>
    <row r="2891" hidden="1" x14ac:dyDescent="0.25"/>
    <row r="2892" hidden="1" x14ac:dyDescent="0.25"/>
    <row r="2893" hidden="1" x14ac:dyDescent="0.25"/>
    <row r="2894" hidden="1" x14ac:dyDescent="0.25"/>
    <row r="2895" hidden="1" x14ac:dyDescent="0.25"/>
    <row r="2896" hidden="1" x14ac:dyDescent="0.25"/>
    <row r="2897" hidden="1" x14ac:dyDescent="0.25"/>
    <row r="2898" hidden="1" x14ac:dyDescent="0.25"/>
    <row r="2899" hidden="1" x14ac:dyDescent="0.25"/>
    <row r="2900" hidden="1" x14ac:dyDescent="0.25"/>
    <row r="2901" hidden="1" x14ac:dyDescent="0.25"/>
    <row r="2902" hidden="1" x14ac:dyDescent="0.25"/>
    <row r="2903" hidden="1" x14ac:dyDescent="0.25"/>
    <row r="2904" hidden="1" x14ac:dyDescent="0.25"/>
    <row r="2905" hidden="1" x14ac:dyDescent="0.25"/>
    <row r="2906" hidden="1" x14ac:dyDescent="0.25"/>
    <row r="2907" hidden="1" x14ac:dyDescent="0.25"/>
    <row r="2908" hidden="1" x14ac:dyDescent="0.25"/>
    <row r="2909" hidden="1" x14ac:dyDescent="0.25"/>
    <row r="2910" hidden="1" x14ac:dyDescent="0.25"/>
    <row r="2911" hidden="1" x14ac:dyDescent="0.25"/>
    <row r="2912" hidden="1" x14ac:dyDescent="0.25"/>
    <row r="2913" hidden="1" x14ac:dyDescent="0.25"/>
    <row r="2914" hidden="1" x14ac:dyDescent="0.25"/>
    <row r="2915" hidden="1" x14ac:dyDescent="0.25"/>
    <row r="2916" hidden="1" x14ac:dyDescent="0.25"/>
    <row r="2917" hidden="1" x14ac:dyDescent="0.25"/>
    <row r="2918" hidden="1" x14ac:dyDescent="0.25"/>
    <row r="2919" hidden="1" x14ac:dyDescent="0.25"/>
    <row r="2920" hidden="1" x14ac:dyDescent="0.25"/>
    <row r="2921" hidden="1" x14ac:dyDescent="0.25"/>
    <row r="2922" hidden="1" x14ac:dyDescent="0.25"/>
    <row r="2923" hidden="1" x14ac:dyDescent="0.25"/>
    <row r="2924" hidden="1" x14ac:dyDescent="0.25"/>
    <row r="2925" hidden="1" x14ac:dyDescent="0.25"/>
    <row r="2926" hidden="1" x14ac:dyDescent="0.25"/>
    <row r="2927" hidden="1" x14ac:dyDescent="0.25"/>
    <row r="2928" hidden="1" x14ac:dyDescent="0.25"/>
    <row r="2929" hidden="1" x14ac:dyDescent="0.25"/>
    <row r="2930" hidden="1" x14ac:dyDescent="0.25"/>
    <row r="2931" hidden="1" x14ac:dyDescent="0.25"/>
    <row r="2932" hidden="1" x14ac:dyDescent="0.25"/>
    <row r="2933" hidden="1" x14ac:dyDescent="0.25"/>
    <row r="2934" hidden="1" x14ac:dyDescent="0.25"/>
    <row r="2935" hidden="1" x14ac:dyDescent="0.25"/>
    <row r="2936" hidden="1" x14ac:dyDescent="0.25"/>
    <row r="2937" hidden="1" x14ac:dyDescent="0.25"/>
    <row r="2938" hidden="1" x14ac:dyDescent="0.25"/>
    <row r="2939" hidden="1" x14ac:dyDescent="0.25"/>
    <row r="2940" hidden="1" x14ac:dyDescent="0.25"/>
    <row r="2941" hidden="1" x14ac:dyDescent="0.25"/>
    <row r="2942" hidden="1" x14ac:dyDescent="0.25"/>
    <row r="2943" hidden="1" x14ac:dyDescent="0.25"/>
    <row r="2944" hidden="1" x14ac:dyDescent="0.25"/>
    <row r="2945" hidden="1" x14ac:dyDescent="0.25"/>
    <row r="2946" hidden="1" x14ac:dyDescent="0.25"/>
    <row r="2947" hidden="1" x14ac:dyDescent="0.25"/>
    <row r="2948" hidden="1" x14ac:dyDescent="0.25"/>
    <row r="2949" hidden="1" x14ac:dyDescent="0.25"/>
    <row r="2950" hidden="1" x14ac:dyDescent="0.25"/>
    <row r="2951" hidden="1" x14ac:dyDescent="0.25"/>
    <row r="2952" hidden="1" x14ac:dyDescent="0.25"/>
    <row r="2953" hidden="1" x14ac:dyDescent="0.25"/>
    <row r="2954" hidden="1" x14ac:dyDescent="0.25"/>
    <row r="2955" hidden="1" x14ac:dyDescent="0.25"/>
    <row r="2956" hidden="1" x14ac:dyDescent="0.25"/>
    <row r="2957" hidden="1" x14ac:dyDescent="0.25"/>
    <row r="2958" hidden="1" x14ac:dyDescent="0.25"/>
    <row r="2959" hidden="1" x14ac:dyDescent="0.25"/>
    <row r="2960" hidden="1" x14ac:dyDescent="0.25"/>
    <row r="2961" hidden="1" x14ac:dyDescent="0.25"/>
    <row r="2962" hidden="1" x14ac:dyDescent="0.25"/>
    <row r="2963" hidden="1" x14ac:dyDescent="0.25"/>
    <row r="2964" hidden="1" x14ac:dyDescent="0.25"/>
    <row r="2965" hidden="1" x14ac:dyDescent="0.25"/>
    <row r="2966" hidden="1" x14ac:dyDescent="0.25"/>
    <row r="2967" hidden="1" x14ac:dyDescent="0.25"/>
    <row r="2968" hidden="1" x14ac:dyDescent="0.25"/>
    <row r="2969" hidden="1" x14ac:dyDescent="0.25"/>
    <row r="2970" hidden="1" x14ac:dyDescent="0.25"/>
    <row r="2971" hidden="1" x14ac:dyDescent="0.25"/>
    <row r="2972" hidden="1" x14ac:dyDescent="0.25"/>
    <row r="2973" hidden="1" x14ac:dyDescent="0.25"/>
    <row r="2974" hidden="1" x14ac:dyDescent="0.25"/>
    <row r="2975" hidden="1" x14ac:dyDescent="0.25"/>
    <row r="2976" hidden="1" x14ac:dyDescent="0.25"/>
    <row r="2977" hidden="1" x14ac:dyDescent="0.25"/>
    <row r="2978" hidden="1" x14ac:dyDescent="0.25"/>
    <row r="2979" hidden="1" x14ac:dyDescent="0.25"/>
    <row r="2980" hidden="1" x14ac:dyDescent="0.25"/>
    <row r="2981" hidden="1" x14ac:dyDescent="0.25"/>
    <row r="2982" hidden="1" x14ac:dyDescent="0.25"/>
    <row r="2983" hidden="1" x14ac:dyDescent="0.25"/>
    <row r="2984" hidden="1" x14ac:dyDescent="0.25"/>
    <row r="2985" hidden="1" x14ac:dyDescent="0.25"/>
    <row r="2986" hidden="1" x14ac:dyDescent="0.25"/>
    <row r="2987" hidden="1" x14ac:dyDescent="0.25"/>
    <row r="2988" hidden="1" x14ac:dyDescent="0.25"/>
    <row r="2989" hidden="1" x14ac:dyDescent="0.25"/>
    <row r="2990" hidden="1" x14ac:dyDescent="0.25"/>
    <row r="2991" hidden="1" x14ac:dyDescent="0.25"/>
    <row r="2992" hidden="1" x14ac:dyDescent="0.25"/>
    <row r="2993" hidden="1" x14ac:dyDescent="0.25"/>
    <row r="2994" hidden="1" x14ac:dyDescent="0.25"/>
    <row r="2995" hidden="1" x14ac:dyDescent="0.25"/>
    <row r="2996" hidden="1" x14ac:dyDescent="0.25"/>
    <row r="2997" hidden="1" x14ac:dyDescent="0.25"/>
    <row r="2998" hidden="1" x14ac:dyDescent="0.25"/>
    <row r="2999" hidden="1" x14ac:dyDescent="0.25"/>
    <row r="3000" hidden="1" x14ac:dyDescent="0.25"/>
    <row r="3001" hidden="1" x14ac:dyDescent="0.25"/>
    <row r="3002" hidden="1" x14ac:dyDescent="0.25"/>
    <row r="3003" hidden="1" x14ac:dyDescent="0.25"/>
    <row r="3004" hidden="1" x14ac:dyDescent="0.25"/>
    <row r="3005" hidden="1" x14ac:dyDescent="0.25"/>
    <row r="3006" hidden="1" x14ac:dyDescent="0.25"/>
    <row r="3007" hidden="1" x14ac:dyDescent="0.25"/>
    <row r="3008" hidden="1" x14ac:dyDescent="0.25"/>
    <row r="3009" hidden="1" x14ac:dyDescent="0.25"/>
    <row r="3010" hidden="1" x14ac:dyDescent="0.25"/>
    <row r="3011" hidden="1" x14ac:dyDescent="0.25"/>
    <row r="3012" hidden="1" x14ac:dyDescent="0.25"/>
    <row r="3013" hidden="1" x14ac:dyDescent="0.25"/>
    <row r="3014" hidden="1" x14ac:dyDescent="0.25"/>
    <row r="3015" hidden="1" x14ac:dyDescent="0.25"/>
    <row r="3016" hidden="1" x14ac:dyDescent="0.25"/>
    <row r="3017" hidden="1" x14ac:dyDescent="0.25"/>
    <row r="3018" hidden="1" x14ac:dyDescent="0.25"/>
    <row r="3019" hidden="1" x14ac:dyDescent="0.25"/>
    <row r="3020" hidden="1" x14ac:dyDescent="0.25"/>
    <row r="3021" hidden="1" x14ac:dyDescent="0.25"/>
    <row r="3022" hidden="1" x14ac:dyDescent="0.25"/>
    <row r="3023" hidden="1" x14ac:dyDescent="0.25"/>
    <row r="3024" hidden="1" x14ac:dyDescent="0.25"/>
    <row r="3025" hidden="1" x14ac:dyDescent="0.25"/>
    <row r="3026" hidden="1" x14ac:dyDescent="0.25"/>
    <row r="3027" hidden="1" x14ac:dyDescent="0.25"/>
    <row r="3028" hidden="1" x14ac:dyDescent="0.25"/>
    <row r="3029" hidden="1" x14ac:dyDescent="0.25"/>
    <row r="3030" hidden="1" x14ac:dyDescent="0.25"/>
    <row r="3031" hidden="1" x14ac:dyDescent="0.25"/>
    <row r="3032" hidden="1" x14ac:dyDescent="0.25"/>
    <row r="3033" hidden="1" x14ac:dyDescent="0.25"/>
    <row r="3034" hidden="1" x14ac:dyDescent="0.25"/>
    <row r="3035" hidden="1" x14ac:dyDescent="0.25"/>
    <row r="3036" hidden="1" x14ac:dyDescent="0.25"/>
    <row r="3037" hidden="1" x14ac:dyDescent="0.25"/>
    <row r="3038" hidden="1" x14ac:dyDescent="0.25"/>
    <row r="3039" hidden="1" x14ac:dyDescent="0.25"/>
    <row r="3040" hidden="1" x14ac:dyDescent="0.25"/>
    <row r="3041" hidden="1" x14ac:dyDescent="0.25"/>
    <row r="3042" hidden="1" x14ac:dyDescent="0.25"/>
    <row r="3043" hidden="1" x14ac:dyDescent="0.25"/>
    <row r="3044" hidden="1" x14ac:dyDescent="0.25"/>
    <row r="3045" hidden="1" x14ac:dyDescent="0.25"/>
    <row r="3046" hidden="1" x14ac:dyDescent="0.25"/>
    <row r="3047" hidden="1" x14ac:dyDescent="0.25"/>
    <row r="3048" hidden="1" x14ac:dyDescent="0.25"/>
    <row r="3049" hidden="1" x14ac:dyDescent="0.25"/>
    <row r="3050" hidden="1" x14ac:dyDescent="0.25"/>
    <row r="3051" hidden="1" x14ac:dyDescent="0.25"/>
    <row r="3052" hidden="1" x14ac:dyDescent="0.25"/>
    <row r="3053" hidden="1" x14ac:dyDescent="0.25"/>
    <row r="3054" hidden="1" x14ac:dyDescent="0.25"/>
    <row r="3055" hidden="1" x14ac:dyDescent="0.25"/>
    <row r="3056" hidden="1" x14ac:dyDescent="0.25"/>
    <row r="3057" hidden="1" x14ac:dyDescent="0.25"/>
    <row r="3058" hidden="1" x14ac:dyDescent="0.25"/>
    <row r="3059" hidden="1" x14ac:dyDescent="0.25"/>
    <row r="3060" hidden="1" x14ac:dyDescent="0.25"/>
    <row r="3061" hidden="1" x14ac:dyDescent="0.25"/>
    <row r="3062" hidden="1" x14ac:dyDescent="0.25"/>
    <row r="3063" hidden="1" x14ac:dyDescent="0.25"/>
    <row r="3064" hidden="1" x14ac:dyDescent="0.25"/>
    <row r="3065" hidden="1" x14ac:dyDescent="0.25"/>
    <row r="3066" hidden="1" x14ac:dyDescent="0.25"/>
    <row r="3067" hidden="1" x14ac:dyDescent="0.25"/>
    <row r="3068" hidden="1" x14ac:dyDescent="0.25"/>
    <row r="3069" hidden="1" x14ac:dyDescent="0.25"/>
    <row r="3070" hidden="1" x14ac:dyDescent="0.25"/>
    <row r="3071" hidden="1" x14ac:dyDescent="0.25"/>
    <row r="3072" hidden="1" x14ac:dyDescent="0.25"/>
    <row r="3073" hidden="1" x14ac:dyDescent="0.25"/>
    <row r="3074" hidden="1" x14ac:dyDescent="0.25"/>
    <row r="3075" hidden="1" x14ac:dyDescent="0.25"/>
    <row r="3076" hidden="1" x14ac:dyDescent="0.25"/>
    <row r="3077" hidden="1" x14ac:dyDescent="0.25"/>
    <row r="3078" hidden="1" x14ac:dyDescent="0.25"/>
    <row r="3079" hidden="1" x14ac:dyDescent="0.25"/>
    <row r="3080" hidden="1" x14ac:dyDescent="0.25"/>
    <row r="3081" hidden="1" x14ac:dyDescent="0.25"/>
    <row r="3082" hidden="1" x14ac:dyDescent="0.25"/>
    <row r="3083" hidden="1" x14ac:dyDescent="0.25"/>
    <row r="3084" hidden="1" x14ac:dyDescent="0.25"/>
    <row r="3085" hidden="1" x14ac:dyDescent="0.25"/>
    <row r="3086" hidden="1" x14ac:dyDescent="0.25"/>
    <row r="3087" hidden="1" x14ac:dyDescent="0.25"/>
    <row r="3088" hidden="1" x14ac:dyDescent="0.25"/>
    <row r="3089" hidden="1" x14ac:dyDescent="0.25"/>
    <row r="3090" hidden="1" x14ac:dyDescent="0.25"/>
    <row r="3091" hidden="1" x14ac:dyDescent="0.25"/>
    <row r="3092" hidden="1" x14ac:dyDescent="0.25"/>
    <row r="3093" hidden="1" x14ac:dyDescent="0.25"/>
    <row r="3094" hidden="1" x14ac:dyDescent="0.25"/>
    <row r="3095" hidden="1" x14ac:dyDescent="0.25"/>
    <row r="3096" hidden="1" x14ac:dyDescent="0.25"/>
    <row r="3097" hidden="1" x14ac:dyDescent="0.25"/>
    <row r="3098" hidden="1" x14ac:dyDescent="0.25"/>
    <row r="3099" hidden="1" x14ac:dyDescent="0.25"/>
    <row r="3100" hidden="1" x14ac:dyDescent="0.25"/>
    <row r="3101" hidden="1" x14ac:dyDescent="0.25"/>
    <row r="3102" hidden="1" x14ac:dyDescent="0.25"/>
    <row r="3103" hidden="1" x14ac:dyDescent="0.25"/>
    <row r="3104" hidden="1" x14ac:dyDescent="0.25"/>
    <row r="3105" hidden="1" x14ac:dyDescent="0.25"/>
    <row r="3106" hidden="1" x14ac:dyDescent="0.25"/>
    <row r="3107" hidden="1" x14ac:dyDescent="0.25"/>
    <row r="3108" hidden="1" x14ac:dyDescent="0.25"/>
    <row r="3109" hidden="1" x14ac:dyDescent="0.25"/>
    <row r="3110" hidden="1" x14ac:dyDescent="0.25"/>
    <row r="3111" hidden="1" x14ac:dyDescent="0.25"/>
    <row r="3112" hidden="1" x14ac:dyDescent="0.25"/>
    <row r="3113" hidden="1" x14ac:dyDescent="0.25"/>
    <row r="3114" hidden="1" x14ac:dyDescent="0.25"/>
    <row r="3115" hidden="1" x14ac:dyDescent="0.25"/>
    <row r="3116" hidden="1" x14ac:dyDescent="0.25"/>
    <row r="3117" hidden="1" x14ac:dyDescent="0.25"/>
    <row r="3118" hidden="1" x14ac:dyDescent="0.25"/>
    <row r="3119" hidden="1" x14ac:dyDescent="0.25"/>
    <row r="3120" hidden="1" x14ac:dyDescent="0.25"/>
    <row r="3121" hidden="1" x14ac:dyDescent="0.25"/>
    <row r="3122" hidden="1" x14ac:dyDescent="0.25"/>
    <row r="3123" hidden="1" x14ac:dyDescent="0.25"/>
    <row r="3124" hidden="1" x14ac:dyDescent="0.25"/>
    <row r="3125" hidden="1" x14ac:dyDescent="0.25"/>
    <row r="3126" hidden="1" x14ac:dyDescent="0.25"/>
    <row r="3127" hidden="1" x14ac:dyDescent="0.25"/>
    <row r="3128" hidden="1" x14ac:dyDescent="0.25"/>
    <row r="3129" hidden="1" x14ac:dyDescent="0.25"/>
    <row r="3130" hidden="1" x14ac:dyDescent="0.25"/>
    <row r="3131" hidden="1" x14ac:dyDescent="0.25"/>
    <row r="3132" hidden="1" x14ac:dyDescent="0.25"/>
    <row r="3133" hidden="1" x14ac:dyDescent="0.25"/>
    <row r="3134" hidden="1" x14ac:dyDescent="0.25"/>
    <row r="3135" hidden="1" x14ac:dyDescent="0.25"/>
    <row r="3136" hidden="1" x14ac:dyDescent="0.25"/>
    <row r="3137" hidden="1" x14ac:dyDescent="0.25"/>
    <row r="3138" hidden="1" x14ac:dyDescent="0.25"/>
    <row r="3139" hidden="1" x14ac:dyDescent="0.25"/>
    <row r="3140" hidden="1" x14ac:dyDescent="0.25"/>
    <row r="3141" hidden="1" x14ac:dyDescent="0.25"/>
    <row r="3142" hidden="1" x14ac:dyDescent="0.25"/>
    <row r="3143" hidden="1" x14ac:dyDescent="0.25"/>
    <row r="3144" hidden="1" x14ac:dyDescent="0.25"/>
    <row r="3145" hidden="1" x14ac:dyDescent="0.25"/>
    <row r="3146" hidden="1" x14ac:dyDescent="0.25"/>
    <row r="3147" hidden="1" x14ac:dyDescent="0.25"/>
    <row r="3148" hidden="1" x14ac:dyDescent="0.25"/>
    <row r="3149" hidden="1" x14ac:dyDescent="0.25"/>
    <row r="3150" hidden="1" x14ac:dyDescent="0.25"/>
    <row r="3151" hidden="1" x14ac:dyDescent="0.25"/>
    <row r="3152" hidden="1" x14ac:dyDescent="0.25"/>
    <row r="3153" hidden="1" x14ac:dyDescent="0.25"/>
    <row r="3154" hidden="1" x14ac:dyDescent="0.25"/>
    <row r="3155" hidden="1" x14ac:dyDescent="0.25"/>
    <row r="3156" hidden="1" x14ac:dyDescent="0.25"/>
    <row r="3157" hidden="1" x14ac:dyDescent="0.25"/>
    <row r="3158" hidden="1" x14ac:dyDescent="0.25"/>
    <row r="3159" hidden="1" x14ac:dyDescent="0.25"/>
    <row r="3160" hidden="1" x14ac:dyDescent="0.25"/>
    <row r="3161" hidden="1" x14ac:dyDescent="0.25"/>
    <row r="3162" hidden="1" x14ac:dyDescent="0.25"/>
    <row r="3163" hidden="1" x14ac:dyDescent="0.25"/>
    <row r="3164" hidden="1" x14ac:dyDescent="0.25"/>
    <row r="3165" hidden="1" x14ac:dyDescent="0.25"/>
    <row r="3166" hidden="1" x14ac:dyDescent="0.25"/>
    <row r="3167" hidden="1" x14ac:dyDescent="0.25"/>
    <row r="3168" hidden="1" x14ac:dyDescent="0.25"/>
    <row r="3169" hidden="1" x14ac:dyDescent="0.25"/>
    <row r="3170" hidden="1" x14ac:dyDescent="0.25"/>
    <row r="3171" hidden="1" x14ac:dyDescent="0.25"/>
    <row r="3172" hidden="1" x14ac:dyDescent="0.25"/>
    <row r="3173" hidden="1" x14ac:dyDescent="0.25"/>
    <row r="3174" hidden="1" x14ac:dyDescent="0.25"/>
    <row r="3175" hidden="1" x14ac:dyDescent="0.25"/>
    <row r="3176" hidden="1" x14ac:dyDescent="0.25"/>
    <row r="3177" hidden="1" x14ac:dyDescent="0.25"/>
    <row r="3178" hidden="1" x14ac:dyDescent="0.25"/>
    <row r="3179" hidden="1" x14ac:dyDescent="0.25"/>
    <row r="3180" hidden="1" x14ac:dyDescent="0.25"/>
    <row r="3181" hidden="1" x14ac:dyDescent="0.25"/>
    <row r="3182" hidden="1" x14ac:dyDescent="0.25"/>
    <row r="3183" hidden="1" x14ac:dyDescent="0.25"/>
    <row r="3184" hidden="1" x14ac:dyDescent="0.25"/>
    <row r="3185" hidden="1" x14ac:dyDescent="0.25"/>
    <row r="3186" hidden="1" x14ac:dyDescent="0.25"/>
    <row r="3187" hidden="1" x14ac:dyDescent="0.25"/>
    <row r="3188" hidden="1" x14ac:dyDescent="0.25"/>
    <row r="3189" hidden="1" x14ac:dyDescent="0.25"/>
    <row r="3190" hidden="1" x14ac:dyDescent="0.25"/>
    <row r="3191" hidden="1" x14ac:dyDescent="0.25"/>
    <row r="3192" hidden="1" x14ac:dyDescent="0.25"/>
    <row r="3193" hidden="1" x14ac:dyDescent="0.25"/>
    <row r="3194" hidden="1" x14ac:dyDescent="0.25"/>
    <row r="3195" hidden="1" x14ac:dyDescent="0.25"/>
    <row r="3196" hidden="1" x14ac:dyDescent="0.25"/>
    <row r="3197" hidden="1" x14ac:dyDescent="0.25"/>
    <row r="3198" hidden="1" x14ac:dyDescent="0.25"/>
    <row r="3199" hidden="1" x14ac:dyDescent="0.25"/>
    <row r="3200" hidden="1" x14ac:dyDescent="0.25"/>
    <row r="3201" hidden="1" x14ac:dyDescent="0.25"/>
    <row r="3202" hidden="1" x14ac:dyDescent="0.25"/>
    <row r="3203" hidden="1" x14ac:dyDescent="0.25"/>
    <row r="3204" hidden="1" x14ac:dyDescent="0.25"/>
    <row r="3205" hidden="1" x14ac:dyDescent="0.25"/>
    <row r="3206" hidden="1" x14ac:dyDescent="0.25"/>
    <row r="3207" hidden="1" x14ac:dyDescent="0.25"/>
    <row r="3208" hidden="1" x14ac:dyDescent="0.25"/>
    <row r="3209" hidden="1" x14ac:dyDescent="0.25"/>
    <row r="3210" hidden="1" x14ac:dyDescent="0.25"/>
    <row r="3211" hidden="1" x14ac:dyDescent="0.25"/>
    <row r="3212" hidden="1" x14ac:dyDescent="0.25"/>
    <row r="3213" hidden="1" x14ac:dyDescent="0.25"/>
    <row r="3214" hidden="1" x14ac:dyDescent="0.25"/>
    <row r="3215" hidden="1" x14ac:dyDescent="0.25"/>
    <row r="3216" hidden="1" x14ac:dyDescent="0.25"/>
    <row r="3217" hidden="1" x14ac:dyDescent="0.25"/>
    <row r="3218" hidden="1" x14ac:dyDescent="0.25"/>
    <row r="3219" hidden="1" x14ac:dyDescent="0.25"/>
    <row r="3220" hidden="1" x14ac:dyDescent="0.25"/>
    <row r="3221" hidden="1" x14ac:dyDescent="0.25"/>
    <row r="3222" hidden="1" x14ac:dyDescent="0.25"/>
    <row r="3223" hidden="1" x14ac:dyDescent="0.25"/>
    <row r="3224" hidden="1" x14ac:dyDescent="0.25"/>
    <row r="3225" hidden="1" x14ac:dyDescent="0.25"/>
    <row r="3226" hidden="1" x14ac:dyDescent="0.25"/>
    <row r="3227" hidden="1" x14ac:dyDescent="0.25"/>
    <row r="3228" hidden="1" x14ac:dyDescent="0.25"/>
    <row r="3229" hidden="1" x14ac:dyDescent="0.25"/>
    <row r="3230" hidden="1" x14ac:dyDescent="0.25"/>
    <row r="3231" hidden="1" x14ac:dyDescent="0.25"/>
    <row r="3232" hidden="1" x14ac:dyDescent="0.25"/>
    <row r="3233" hidden="1" x14ac:dyDescent="0.25"/>
    <row r="3234" hidden="1" x14ac:dyDescent="0.25"/>
    <row r="3235" hidden="1" x14ac:dyDescent="0.25"/>
    <row r="3236" hidden="1" x14ac:dyDescent="0.25"/>
    <row r="3237" hidden="1" x14ac:dyDescent="0.25"/>
    <row r="3238" hidden="1" x14ac:dyDescent="0.25"/>
    <row r="3239" hidden="1" x14ac:dyDescent="0.25"/>
    <row r="3240" hidden="1" x14ac:dyDescent="0.25"/>
    <row r="3241" hidden="1" x14ac:dyDescent="0.25"/>
    <row r="3242" hidden="1" x14ac:dyDescent="0.25"/>
    <row r="3243" hidden="1" x14ac:dyDescent="0.25"/>
    <row r="3244" hidden="1" x14ac:dyDescent="0.25"/>
    <row r="3245" hidden="1" x14ac:dyDescent="0.25"/>
    <row r="3246" hidden="1" x14ac:dyDescent="0.25"/>
    <row r="3247" hidden="1" x14ac:dyDescent="0.25"/>
    <row r="3248" hidden="1" x14ac:dyDescent="0.25"/>
    <row r="3249" hidden="1" x14ac:dyDescent="0.25"/>
    <row r="3250" hidden="1" x14ac:dyDescent="0.25"/>
    <row r="3251" hidden="1" x14ac:dyDescent="0.25"/>
    <row r="3252" hidden="1" x14ac:dyDescent="0.25"/>
    <row r="3253" hidden="1" x14ac:dyDescent="0.25"/>
    <row r="3254" hidden="1" x14ac:dyDescent="0.25"/>
    <row r="3255" hidden="1" x14ac:dyDescent="0.25"/>
    <row r="3256" hidden="1" x14ac:dyDescent="0.25"/>
    <row r="3257" hidden="1" x14ac:dyDescent="0.25"/>
    <row r="3258" hidden="1" x14ac:dyDescent="0.25"/>
    <row r="3259" hidden="1" x14ac:dyDescent="0.25"/>
    <row r="3260" hidden="1" x14ac:dyDescent="0.25"/>
    <row r="3261" hidden="1" x14ac:dyDescent="0.25"/>
    <row r="3262" hidden="1" x14ac:dyDescent="0.25"/>
    <row r="3263" hidden="1" x14ac:dyDescent="0.25"/>
    <row r="3264" hidden="1" x14ac:dyDescent="0.25"/>
    <row r="3265" hidden="1" x14ac:dyDescent="0.25"/>
    <row r="3266" hidden="1" x14ac:dyDescent="0.25"/>
    <row r="3267" hidden="1" x14ac:dyDescent="0.25"/>
    <row r="3268" hidden="1" x14ac:dyDescent="0.25"/>
    <row r="3269" hidden="1" x14ac:dyDescent="0.25"/>
    <row r="3270" hidden="1" x14ac:dyDescent="0.25"/>
    <row r="3271" hidden="1" x14ac:dyDescent="0.25"/>
    <row r="3272" hidden="1" x14ac:dyDescent="0.25"/>
    <row r="3273" hidden="1" x14ac:dyDescent="0.25"/>
    <row r="3274" hidden="1" x14ac:dyDescent="0.25"/>
    <row r="3275" hidden="1" x14ac:dyDescent="0.25"/>
    <row r="3276" hidden="1" x14ac:dyDescent="0.25"/>
    <row r="3277" hidden="1" x14ac:dyDescent="0.25"/>
    <row r="3278" hidden="1" x14ac:dyDescent="0.25"/>
    <row r="3279" hidden="1" x14ac:dyDescent="0.25"/>
    <row r="3280" hidden="1" x14ac:dyDescent="0.25"/>
    <row r="3281" hidden="1" x14ac:dyDescent="0.25"/>
    <row r="3282" hidden="1" x14ac:dyDescent="0.25"/>
    <row r="3283" hidden="1" x14ac:dyDescent="0.25"/>
    <row r="3284" hidden="1" x14ac:dyDescent="0.25"/>
    <row r="3285" hidden="1" x14ac:dyDescent="0.25"/>
    <row r="3286" hidden="1" x14ac:dyDescent="0.25"/>
    <row r="3287" hidden="1" x14ac:dyDescent="0.25"/>
    <row r="3288" hidden="1" x14ac:dyDescent="0.25"/>
    <row r="3289" hidden="1" x14ac:dyDescent="0.25"/>
    <row r="3290" hidden="1" x14ac:dyDescent="0.25"/>
    <row r="3291" hidden="1" x14ac:dyDescent="0.25"/>
    <row r="3292" hidden="1" x14ac:dyDescent="0.25"/>
    <row r="3293" hidden="1" x14ac:dyDescent="0.25"/>
    <row r="3294" hidden="1" x14ac:dyDescent="0.25"/>
    <row r="3295" hidden="1" x14ac:dyDescent="0.25"/>
    <row r="3296" hidden="1" x14ac:dyDescent="0.25"/>
    <row r="3297" hidden="1" x14ac:dyDescent="0.25"/>
    <row r="3298" hidden="1" x14ac:dyDescent="0.25"/>
    <row r="3299" hidden="1" x14ac:dyDescent="0.25"/>
    <row r="3300" hidden="1" x14ac:dyDescent="0.25"/>
    <row r="3301" hidden="1" x14ac:dyDescent="0.25"/>
    <row r="3302" hidden="1" x14ac:dyDescent="0.25"/>
    <row r="3303" hidden="1" x14ac:dyDescent="0.25"/>
    <row r="3304" hidden="1" x14ac:dyDescent="0.25"/>
    <row r="3305" hidden="1" x14ac:dyDescent="0.25"/>
    <row r="3306" hidden="1" x14ac:dyDescent="0.25"/>
    <row r="3307" hidden="1" x14ac:dyDescent="0.25"/>
    <row r="3308" hidden="1" x14ac:dyDescent="0.25"/>
    <row r="3309" hidden="1" x14ac:dyDescent="0.25"/>
    <row r="3310" hidden="1" x14ac:dyDescent="0.25"/>
    <row r="3311" hidden="1" x14ac:dyDescent="0.25"/>
    <row r="3312" hidden="1" x14ac:dyDescent="0.25"/>
    <row r="3313" hidden="1" x14ac:dyDescent="0.25"/>
    <row r="3314" hidden="1" x14ac:dyDescent="0.25"/>
    <row r="3315" hidden="1" x14ac:dyDescent="0.25"/>
    <row r="3316" hidden="1" x14ac:dyDescent="0.25"/>
    <row r="3317" hidden="1" x14ac:dyDescent="0.25"/>
    <row r="3318" hidden="1" x14ac:dyDescent="0.25"/>
    <row r="3319" hidden="1" x14ac:dyDescent="0.25"/>
    <row r="3320" hidden="1" x14ac:dyDescent="0.25"/>
    <row r="3321" hidden="1" x14ac:dyDescent="0.25"/>
    <row r="3322" hidden="1" x14ac:dyDescent="0.25"/>
    <row r="3323" hidden="1" x14ac:dyDescent="0.25"/>
    <row r="3324" hidden="1" x14ac:dyDescent="0.25"/>
    <row r="3325" hidden="1" x14ac:dyDescent="0.25"/>
    <row r="3326" hidden="1" x14ac:dyDescent="0.25"/>
    <row r="3327" hidden="1" x14ac:dyDescent="0.25"/>
    <row r="3328" hidden="1" x14ac:dyDescent="0.25"/>
    <row r="3329" hidden="1" x14ac:dyDescent="0.25"/>
    <row r="3330" hidden="1" x14ac:dyDescent="0.25"/>
    <row r="3331" hidden="1" x14ac:dyDescent="0.25"/>
    <row r="3332" hidden="1" x14ac:dyDescent="0.25"/>
    <row r="3333" hidden="1" x14ac:dyDescent="0.25"/>
    <row r="3334" hidden="1" x14ac:dyDescent="0.25"/>
    <row r="3335" hidden="1" x14ac:dyDescent="0.25"/>
    <row r="3336" hidden="1" x14ac:dyDescent="0.25"/>
    <row r="3337" hidden="1" x14ac:dyDescent="0.25"/>
    <row r="3338" hidden="1" x14ac:dyDescent="0.25"/>
    <row r="3339" hidden="1" x14ac:dyDescent="0.25"/>
    <row r="3340" hidden="1" x14ac:dyDescent="0.25"/>
    <row r="3341" hidden="1" x14ac:dyDescent="0.25"/>
    <row r="3342" hidden="1" x14ac:dyDescent="0.25"/>
    <row r="3343" hidden="1" x14ac:dyDescent="0.25"/>
    <row r="3344" hidden="1" x14ac:dyDescent="0.25"/>
    <row r="3345" hidden="1" x14ac:dyDescent="0.25"/>
    <row r="3346" hidden="1" x14ac:dyDescent="0.25"/>
    <row r="3347" hidden="1" x14ac:dyDescent="0.25"/>
    <row r="3348" hidden="1" x14ac:dyDescent="0.25"/>
    <row r="3349" hidden="1" x14ac:dyDescent="0.25"/>
    <row r="3350" hidden="1" x14ac:dyDescent="0.25"/>
    <row r="3351" hidden="1" x14ac:dyDescent="0.25"/>
    <row r="3352" hidden="1" x14ac:dyDescent="0.25"/>
    <row r="3353" hidden="1" x14ac:dyDescent="0.25"/>
    <row r="3354" hidden="1" x14ac:dyDescent="0.25"/>
    <row r="3355" hidden="1" x14ac:dyDescent="0.25"/>
    <row r="3356" hidden="1" x14ac:dyDescent="0.25"/>
    <row r="3357" hidden="1" x14ac:dyDescent="0.25"/>
    <row r="3358" hidden="1" x14ac:dyDescent="0.25"/>
    <row r="3359" hidden="1" x14ac:dyDescent="0.25"/>
    <row r="3360" hidden="1" x14ac:dyDescent="0.25"/>
    <row r="3361" hidden="1" x14ac:dyDescent="0.25"/>
    <row r="3362" hidden="1" x14ac:dyDescent="0.25"/>
    <row r="3363" hidden="1" x14ac:dyDescent="0.25"/>
    <row r="3364" hidden="1" x14ac:dyDescent="0.25"/>
    <row r="3365" hidden="1" x14ac:dyDescent="0.25"/>
    <row r="3366" hidden="1" x14ac:dyDescent="0.25"/>
    <row r="3367" hidden="1" x14ac:dyDescent="0.25"/>
    <row r="3368" hidden="1" x14ac:dyDescent="0.25"/>
    <row r="3369" hidden="1" x14ac:dyDescent="0.25"/>
    <row r="3370" hidden="1" x14ac:dyDescent="0.25"/>
    <row r="3371" hidden="1" x14ac:dyDescent="0.25"/>
    <row r="3372" hidden="1" x14ac:dyDescent="0.25"/>
    <row r="3373" hidden="1" x14ac:dyDescent="0.25"/>
    <row r="3374" hidden="1" x14ac:dyDescent="0.25"/>
    <row r="3375" hidden="1" x14ac:dyDescent="0.25"/>
    <row r="3376" hidden="1" x14ac:dyDescent="0.25"/>
    <row r="3377" hidden="1" x14ac:dyDescent="0.25"/>
    <row r="3378" hidden="1" x14ac:dyDescent="0.25"/>
    <row r="3379" hidden="1" x14ac:dyDescent="0.25"/>
    <row r="3380" hidden="1" x14ac:dyDescent="0.25"/>
    <row r="3381" hidden="1" x14ac:dyDescent="0.25"/>
    <row r="3382" hidden="1" x14ac:dyDescent="0.25"/>
    <row r="3383" hidden="1" x14ac:dyDescent="0.25"/>
    <row r="3384" hidden="1" x14ac:dyDescent="0.25"/>
    <row r="3385" hidden="1" x14ac:dyDescent="0.25"/>
    <row r="3386" hidden="1" x14ac:dyDescent="0.25"/>
    <row r="3387" hidden="1" x14ac:dyDescent="0.25"/>
    <row r="3388" hidden="1" x14ac:dyDescent="0.25"/>
    <row r="3389" hidden="1" x14ac:dyDescent="0.25"/>
    <row r="3390" hidden="1" x14ac:dyDescent="0.25"/>
    <row r="3391" hidden="1" x14ac:dyDescent="0.25"/>
    <row r="3392" hidden="1" x14ac:dyDescent="0.25"/>
    <row r="3393" hidden="1" x14ac:dyDescent="0.25"/>
    <row r="3394" hidden="1" x14ac:dyDescent="0.25"/>
    <row r="3395" hidden="1" x14ac:dyDescent="0.25"/>
    <row r="3396" hidden="1" x14ac:dyDescent="0.25"/>
    <row r="3397" hidden="1" x14ac:dyDescent="0.25"/>
    <row r="3398" hidden="1" x14ac:dyDescent="0.25"/>
    <row r="3399" hidden="1" x14ac:dyDescent="0.25"/>
    <row r="3400" hidden="1" x14ac:dyDescent="0.25"/>
    <row r="3401" hidden="1" x14ac:dyDescent="0.25"/>
    <row r="3402" hidden="1" x14ac:dyDescent="0.25"/>
    <row r="3403" hidden="1" x14ac:dyDescent="0.25"/>
    <row r="3404" hidden="1" x14ac:dyDescent="0.25"/>
    <row r="3405" hidden="1" x14ac:dyDescent="0.25"/>
    <row r="3406" hidden="1" x14ac:dyDescent="0.25"/>
    <row r="3407" hidden="1" x14ac:dyDescent="0.25"/>
    <row r="3408" hidden="1" x14ac:dyDescent="0.25"/>
    <row r="3409" hidden="1" x14ac:dyDescent="0.25"/>
    <row r="3410" hidden="1" x14ac:dyDescent="0.25"/>
    <row r="3411" hidden="1" x14ac:dyDescent="0.25"/>
    <row r="3412" hidden="1" x14ac:dyDescent="0.25"/>
    <row r="3413" hidden="1" x14ac:dyDescent="0.25"/>
    <row r="3414" hidden="1" x14ac:dyDescent="0.25"/>
    <row r="3415" hidden="1" x14ac:dyDescent="0.25"/>
    <row r="3416" hidden="1" x14ac:dyDescent="0.25"/>
    <row r="3417" hidden="1" x14ac:dyDescent="0.25"/>
    <row r="3418" hidden="1" x14ac:dyDescent="0.25"/>
    <row r="3419" hidden="1" x14ac:dyDescent="0.25"/>
    <row r="3420" hidden="1" x14ac:dyDescent="0.25"/>
    <row r="3421" hidden="1" x14ac:dyDescent="0.25"/>
    <row r="3422" hidden="1" x14ac:dyDescent="0.25"/>
    <row r="3423" hidden="1" x14ac:dyDescent="0.25"/>
    <row r="3424" hidden="1" x14ac:dyDescent="0.25"/>
    <row r="3425" hidden="1" x14ac:dyDescent="0.25"/>
    <row r="3426" hidden="1" x14ac:dyDescent="0.25"/>
    <row r="3427" hidden="1" x14ac:dyDescent="0.25"/>
    <row r="3428" hidden="1" x14ac:dyDescent="0.25"/>
    <row r="3429" hidden="1" x14ac:dyDescent="0.25"/>
    <row r="3430" hidden="1" x14ac:dyDescent="0.25"/>
    <row r="3431" hidden="1" x14ac:dyDescent="0.25"/>
    <row r="3432" hidden="1" x14ac:dyDescent="0.25"/>
    <row r="3433" hidden="1" x14ac:dyDescent="0.25"/>
    <row r="3434" hidden="1" x14ac:dyDescent="0.25"/>
    <row r="3435" hidden="1" x14ac:dyDescent="0.25"/>
    <row r="3436" hidden="1" x14ac:dyDescent="0.25"/>
    <row r="3437" hidden="1" x14ac:dyDescent="0.25"/>
    <row r="3438" hidden="1" x14ac:dyDescent="0.25"/>
    <row r="3439" hidden="1" x14ac:dyDescent="0.25"/>
    <row r="3440" hidden="1" x14ac:dyDescent="0.25"/>
    <row r="3441" hidden="1" x14ac:dyDescent="0.25"/>
    <row r="3442" hidden="1" x14ac:dyDescent="0.25"/>
    <row r="3443" hidden="1" x14ac:dyDescent="0.25"/>
    <row r="3444" hidden="1" x14ac:dyDescent="0.25"/>
    <row r="3445" hidden="1" x14ac:dyDescent="0.25"/>
    <row r="3446" hidden="1" x14ac:dyDescent="0.25"/>
    <row r="3447" hidden="1" x14ac:dyDescent="0.25"/>
    <row r="3448" hidden="1" x14ac:dyDescent="0.25"/>
    <row r="3449" hidden="1" x14ac:dyDescent="0.25"/>
    <row r="3450" hidden="1" x14ac:dyDescent="0.25"/>
    <row r="3451" hidden="1" x14ac:dyDescent="0.25"/>
    <row r="3452" hidden="1" x14ac:dyDescent="0.25"/>
    <row r="3453" hidden="1" x14ac:dyDescent="0.25"/>
    <row r="3454" hidden="1" x14ac:dyDescent="0.25"/>
    <row r="3455" hidden="1" x14ac:dyDescent="0.25"/>
    <row r="3456" hidden="1" x14ac:dyDescent="0.25"/>
    <row r="3457" hidden="1" x14ac:dyDescent="0.25"/>
    <row r="3458" hidden="1" x14ac:dyDescent="0.25"/>
    <row r="3459" hidden="1" x14ac:dyDescent="0.25"/>
    <row r="3460" hidden="1" x14ac:dyDescent="0.25"/>
    <row r="3461" hidden="1" x14ac:dyDescent="0.25"/>
    <row r="3462" hidden="1" x14ac:dyDescent="0.25"/>
    <row r="3463" hidden="1" x14ac:dyDescent="0.25"/>
    <row r="3464" hidden="1" x14ac:dyDescent="0.25"/>
    <row r="3465" hidden="1" x14ac:dyDescent="0.25"/>
    <row r="3466" hidden="1" x14ac:dyDescent="0.25"/>
    <row r="3467" hidden="1" x14ac:dyDescent="0.25"/>
    <row r="3468" hidden="1" x14ac:dyDescent="0.25"/>
    <row r="3469" hidden="1" x14ac:dyDescent="0.25"/>
    <row r="3470" hidden="1" x14ac:dyDescent="0.25"/>
    <row r="3471" hidden="1" x14ac:dyDescent="0.25"/>
    <row r="3472" hidden="1" x14ac:dyDescent="0.25"/>
    <row r="3473" hidden="1" x14ac:dyDescent="0.25"/>
    <row r="3474" hidden="1" x14ac:dyDescent="0.25"/>
    <row r="3475" hidden="1" x14ac:dyDescent="0.25"/>
    <row r="3476" hidden="1" x14ac:dyDescent="0.25"/>
    <row r="3477" hidden="1" x14ac:dyDescent="0.25"/>
    <row r="3478" hidden="1" x14ac:dyDescent="0.25"/>
    <row r="3479" hidden="1" x14ac:dyDescent="0.25"/>
    <row r="3480" hidden="1" x14ac:dyDescent="0.25"/>
    <row r="3481" hidden="1" x14ac:dyDescent="0.25"/>
    <row r="3482" hidden="1" x14ac:dyDescent="0.25"/>
    <row r="3483" hidden="1" x14ac:dyDescent="0.25"/>
    <row r="3484" hidden="1" x14ac:dyDescent="0.25"/>
    <row r="3485" hidden="1" x14ac:dyDescent="0.25"/>
    <row r="3486" hidden="1" x14ac:dyDescent="0.25"/>
    <row r="3487" hidden="1" x14ac:dyDescent="0.25"/>
    <row r="3488" hidden="1" x14ac:dyDescent="0.25"/>
    <row r="3489" hidden="1" x14ac:dyDescent="0.25"/>
    <row r="3490" hidden="1" x14ac:dyDescent="0.25"/>
    <row r="3491" hidden="1" x14ac:dyDescent="0.25"/>
    <row r="3492" hidden="1" x14ac:dyDescent="0.25"/>
    <row r="3493" hidden="1" x14ac:dyDescent="0.25"/>
    <row r="3494" hidden="1" x14ac:dyDescent="0.25"/>
    <row r="3495" hidden="1" x14ac:dyDescent="0.25"/>
    <row r="3496" hidden="1" x14ac:dyDescent="0.25"/>
    <row r="3497" hidden="1" x14ac:dyDescent="0.25"/>
    <row r="3498" hidden="1" x14ac:dyDescent="0.25"/>
    <row r="3499" hidden="1" x14ac:dyDescent="0.25"/>
    <row r="3500" hidden="1" x14ac:dyDescent="0.25"/>
    <row r="3501" hidden="1" x14ac:dyDescent="0.25"/>
    <row r="3502" hidden="1" x14ac:dyDescent="0.25"/>
    <row r="3503" hidden="1" x14ac:dyDescent="0.25"/>
    <row r="3504" hidden="1" x14ac:dyDescent="0.25"/>
    <row r="3505" hidden="1" x14ac:dyDescent="0.25"/>
    <row r="3506" hidden="1" x14ac:dyDescent="0.25"/>
    <row r="3507" hidden="1" x14ac:dyDescent="0.25"/>
    <row r="3508" hidden="1" x14ac:dyDescent="0.25"/>
    <row r="3509" hidden="1" x14ac:dyDescent="0.25"/>
    <row r="3510" hidden="1" x14ac:dyDescent="0.25"/>
    <row r="3511" hidden="1" x14ac:dyDescent="0.25"/>
    <row r="3512" hidden="1" x14ac:dyDescent="0.25"/>
    <row r="3513" hidden="1" x14ac:dyDescent="0.25"/>
    <row r="3514" hidden="1" x14ac:dyDescent="0.25"/>
    <row r="3515" hidden="1" x14ac:dyDescent="0.25"/>
    <row r="3516" hidden="1" x14ac:dyDescent="0.25"/>
    <row r="3517" hidden="1" x14ac:dyDescent="0.25"/>
    <row r="3518" hidden="1" x14ac:dyDescent="0.25"/>
    <row r="3519" hidden="1" x14ac:dyDescent="0.25"/>
    <row r="3520" hidden="1" x14ac:dyDescent="0.25"/>
    <row r="3521" hidden="1" x14ac:dyDescent="0.25"/>
    <row r="3522" hidden="1" x14ac:dyDescent="0.25"/>
    <row r="3523" hidden="1" x14ac:dyDescent="0.25"/>
    <row r="3524" hidden="1" x14ac:dyDescent="0.25"/>
    <row r="3525" hidden="1" x14ac:dyDescent="0.25"/>
    <row r="3526" hidden="1" x14ac:dyDescent="0.25"/>
    <row r="3527" hidden="1" x14ac:dyDescent="0.25"/>
    <row r="3528" hidden="1" x14ac:dyDescent="0.25"/>
    <row r="3529" hidden="1" x14ac:dyDescent="0.25"/>
    <row r="3530" hidden="1" x14ac:dyDescent="0.25"/>
    <row r="3531" hidden="1" x14ac:dyDescent="0.25"/>
    <row r="3532" hidden="1" x14ac:dyDescent="0.25"/>
    <row r="3533" hidden="1" x14ac:dyDescent="0.25"/>
    <row r="3534" hidden="1" x14ac:dyDescent="0.25"/>
    <row r="3535" hidden="1" x14ac:dyDescent="0.25"/>
    <row r="3536" hidden="1" x14ac:dyDescent="0.25"/>
    <row r="3537" hidden="1" x14ac:dyDescent="0.25"/>
    <row r="3538" hidden="1" x14ac:dyDescent="0.25"/>
    <row r="3539" hidden="1" x14ac:dyDescent="0.25"/>
    <row r="3540" hidden="1" x14ac:dyDescent="0.25"/>
    <row r="3541" hidden="1" x14ac:dyDescent="0.25"/>
    <row r="3542" hidden="1" x14ac:dyDescent="0.25"/>
    <row r="3543" hidden="1" x14ac:dyDescent="0.25"/>
    <row r="3544" hidden="1" x14ac:dyDescent="0.25"/>
    <row r="3545" hidden="1" x14ac:dyDescent="0.25"/>
    <row r="3546" hidden="1" x14ac:dyDescent="0.25"/>
    <row r="3547" hidden="1" x14ac:dyDescent="0.25"/>
    <row r="3548" hidden="1" x14ac:dyDescent="0.25"/>
    <row r="3549" hidden="1" x14ac:dyDescent="0.25"/>
    <row r="3550" hidden="1" x14ac:dyDescent="0.25"/>
    <row r="3551" hidden="1" x14ac:dyDescent="0.25"/>
    <row r="3552" hidden="1" x14ac:dyDescent="0.25"/>
    <row r="3553" hidden="1" x14ac:dyDescent="0.25"/>
    <row r="3554" hidden="1" x14ac:dyDescent="0.25"/>
    <row r="3555" hidden="1" x14ac:dyDescent="0.25"/>
    <row r="3556" hidden="1" x14ac:dyDescent="0.25"/>
    <row r="3557" hidden="1" x14ac:dyDescent="0.25"/>
    <row r="3558" hidden="1" x14ac:dyDescent="0.25"/>
    <row r="3559" hidden="1" x14ac:dyDescent="0.25"/>
    <row r="3560" hidden="1" x14ac:dyDescent="0.25"/>
    <row r="3561" hidden="1" x14ac:dyDescent="0.25"/>
    <row r="3562" hidden="1" x14ac:dyDescent="0.25"/>
    <row r="3563" hidden="1" x14ac:dyDescent="0.25"/>
    <row r="3564" hidden="1" x14ac:dyDescent="0.25"/>
    <row r="3565" hidden="1" x14ac:dyDescent="0.25"/>
    <row r="3566" hidden="1" x14ac:dyDescent="0.25"/>
    <row r="3567" hidden="1" x14ac:dyDescent="0.25"/>
    <row r="3568" hidden="1" x14ac:dyDescent="0.25"/>
    <row r="3569" hidden="1" x14ac:dyDescent="0.25"/>
    <row r="3570" hidden="1" x14ac:dyDescent="0.25"/>
    <row r="3571" hidden="1" x14ac:dyDescent="0.25"/>
    <row r="3572" hidden="1" x14ac:dyDescent="0.25"/>
    <row r="3573" hidden="1" x14ac:dyDescent="0.25"/>
    <row r="3574" hidden="1" x14ac:dyDescent="0.25"/>
    <row r="3575" hidden="1" x14ac:dyDescent="0.25"/>
    <row r="3576" hidden="1" x14ac:dyDescent="0.25"/>
    <row r="3577" hidden="1" x14ac:dyDescent="0.25"/>
    <row r="3578" hidden="1" x14ac:dyDescent="0.25"/>
    <row r="3579" hidden="1" x14ac:dyDescent="0.25"/>
    <row r="3580" hidden="1" x14ac:dyDescent="0.25"/>
    <row r="3581" hidden="1" x14ac:dyDescent="0.25"/>
    <row r="3582" hidden="1" x14ac:dyDescent="0.25"/>
    <row r="3583" hidden="1" x14ac:dyDescent="0.25"/>
    <row r="3584" hidden="1" x14ac:dyDescent="0.25"/>
    <row r="3585" hidden="1" x14ac:dyDescent="0.25"/>
    <row r="3586" hidden="1" x14ac:dyDescent="0.25"/>
    <row r="3587" hidden="1" x14ac:dyDescent="0.25"/>
    <row r="3588" hidden="1" x14ac:dyDescent="0.25"/>
    <row r="3589" hidden="1" x14ac:dyDescent="0.25"/>
    <row r="3590" hidden="1" x14ac:dyDescent="0.25"/>
    <row r="3591" hidden="1" x14ac:dyDescent="0.25"/>
    <row r="3592" hidden="1" x14ac:dyDescent="0.25"/>
    <row r="3593" hidden="1" x14ac:dyDescent="0.25"/>
    <row r="3594" hidden="1" x14ac:dyDescent="0.25"/>
    <row r="3595" hidden="1" x14ac:dyDescent="0.25"/>
    <row r="3596" hidden="1" x14ac:dyDescent="0.25"/>
    <row r="3597" hidden="1" x14ac:dyDescent="0.25"/>
    <row r="3598" hidden="1" x14ac:dyDescent="0.25"/>
    <row r="3599" hidden="1" x14ac:dyDescent="0.25"/>
    <row r="3600" hidden="1" x14ac:dyDescent="0.25"/>
    <row r="3601" hidden="1" x14ac:dyDescent="0.25"/>
    <row r="3602" hidden="1" x14ac:dyDescent="0.25"/>
    <row r="3603" hidden="1" x14ac:dyDescent="0.25"/>
    <row r="3604" hidden="1" x14ac:dyDescent="0.25"/>
    <row r="3605" hidden="1" x14ac:dyDescent="0.25"/>
    <row r="3606" hidden="1" x14ac:dyDescent="0.25"/>
    <row r="3607" hidden="1" x14ac:dyDescent="0.25"/>
    <row r="3608" hidden="1" x14ac:dyDescent="0.25"/>
    <row r="3609" hidden="1" x14ac:dyDescent="0.25"/>
    <row r="3610" hidden="1" x14ac:dyDescent="0.25"/>
    <row r="3611" hidden="1" x14ac:dyDescent="0.25"/>
    <row r="3612" hidden="1" x14ac:dyDescent="0.25"/>
    <row r="3613" hidden="1" x14ac:dyDescent="0.25"/>
    <row r="3614" hidden="1" x14ac:dyDescent="0.25"/>
    <row r="3615" hidden="1" x14ac:dyDescent="0.25"/>
    <row r="3616" hidden="1" x14ac:dyDescent="0.25"/>
    <row r="3617" hidden="1" x14ac:dyDescent="0.25"/>
    <row r="3618" hidden="1" x14ac:dyDescent="0.25"/>
    <row r="3619" hidden="1" x14ac:dyDescent="0.25"/>
    <row r="3620" hidden="1" x14ac:dyDescent="0.25"/>
    <row r="3621" hidden="1" x14ac:dyDescent="0.25"/>
    <row r="3622" hidden="1" x14ac:dyDescent="0.25"/>
    <row r="3623" hidden="1" x14ac:dyDescent="0.25"/>
    <row r="3624" hidden="1" x14ac:dyDescent="0.25"/>
    <row r="3625" hidden="1" x14ac:dyDescent="0.25"/>
    <row r="3626" hidden="1" x14ac:dyDescent="0.25"/>
    <row r="3627" hidden="1" x14ac:dyDescent="0.25"/>
    <row r="3628" hidden="1" x14ac:dyDescent="0.25"/>
    <row r="3629" hidden="1" x14ac:dyDescent="0.25"/>
    <row r="3630" hidden="1" x14ac:dyDescent="0.25"/>
    <row r="3631" hidden="1" x14ac:dyDescent="0.25"/>
    <row r="3632" hidden="1" x14ac:dyDescent="0.25"/>
    <row r="3633" hidden="1" x14ac:dyDescent="0.25"/>
    <row r="3634" hidden="1" x14ac:dyDescent="0.25"/>
    <row r="3635" hidden="1" x14ac:dyDescent="0.25"/>
    <row r="3636" hidden="1" x14ac:dyDescent="0.25"/>
    <row r="3637" hidden="1" x14ac:dyDescent="0.25"/>
    <row r="3638" hidden="1" x14ac:dyDescent="0.25"/>
    <row r="3639" hidden="1" x14ac:dyDescent="0.25"/>
    <row r="3640" hidden="1" x14ac:dyDescent="0.25"/>
    <row r="3641" hidden="1" x14ac:dyDescent="0.25"/>
    <row r="3642" hidden="1" x14ac:dyDescent="0.25"/>
    <row r="3643" hidden="1" x14ac:dyDescent="0.25"/>
    <row r="3644" hidden="1" x14ac:dyDescent="0.25"/>
    <row r="3645" hidden="1" x14ac:dyDescent="0.25"/>
    <row r="3646" hidden="1" x14ac:dyDescent="0.25"/>
    <row r="3647" hidden="1" x14ac:dyDescent="0.25"/>
    <row r="3648" hidden="1" x14ac:dyDescent="0.25"/>
    <row r="3649" hidden="1" x14ac:dyDescent="0.25"/>
    <row r="3650" hidden="1" x14ac:dyDescent="0.25"/>
    <row r="3651" hidden="1" x14ac:dyDescent="0.25"/>
    <row r="3652" hidden="1" x14ac:dyDescent="0.25"/>
    <row r="3653" hidden="1" x14ac:dyDescent="0.25"/>
    <row r="3654" hidden="1" x14ac:dyDescent="0.25"/>
    <row r="3655" hidden="1" x14ac:dyDescent="0.25"/>
    <row r="3656" hidden="1" x14ac:dyDescent="0.25"/>
    <row r="3657" hidden="1" x14ac:dyDescent="0.25"/>
    <row r="3658" hidden="1" x14ac:dyDescent="0.25"/>
    <row r="3659" hidden="1" x14ac:dyDescent="0.25"/>
    <row r="3660" hidden="1" x14ac:dyDescent="0.25"/>
    <row r="3661" hidden="1" x14ac:dyDescent="0.25"/>
    <row r="3662" hidden="1" x14ac:dyDescent="0.25"/>
    <row r="3663" hidden="1" x14ac:dyDescent="0.25"/>
    <row r="3664" hidden="1" x14ac:dyDescent="0.25"/>
    <row r="3665" hidden="1" x14ac:dyDescent="0.25"/>
    <row r="3666" hidden="1" x14ac:dyDescent="0.25"/>
    <row r="3667" hidden="1" x14ac:dyDescent="0.25"/>
    <row r="3668" hidden="1" x14ac:dyDescent="0.25"/>
    <row r="3669" hidden="1" x14ac:dyDescent="0.25"/>
    <row r="3670" hidden="1" x14ac:dyDescent="0.25"/>
    <row r="3671" hidden="1" x14ac:dyDescent="0.25"/>
    <row r="3672" hidden="1" x14ac:dyDescent="0.25"/>
    <row r="3673" hidden="1" x14ac:dyDescent="0.25"/>
    <row r="3674" hidden="1" x14ac:dyDescent="0.25"/>
    <row r="3675" hidden="1" x14ac:dyDescent="0.25"/>
    <row r="3676" hidden="1" x14ac:dyDescent="0.25"/>
    <row r="3677" hidden="1" x14ac:dyDescent="0.25"/>
    <row r="3678" hidden="1" x14ac:dyDescent="0.25"/>
    <row r="3679" hidden="1" x14ac:dyDescent="0.25"/>
    <row r="3680" hidden="1" x14ac:dyDescent="0.25"/>
    <row r="3681" hidden="1" x14ac:dyDescent="0.25"/>
    <row r="3682" hidden="1" x14ac:dyDescent="0.25"/>
    <row r="3683" hidden="1" x14ac:dyDescent="0.25"/>
    <row r="3684" hidden="1" x14ac:dyDescent="0.25"/>
    <row r="3685" hidden="1" x14ac:dyDescent="0.25"/>
    <row r="3686" hidden="1" x14ac:dyDescent="0.25"/>
    <row r="3687" hidden="1" x14ac:dyDescent="0.25"/>
    <row r="3688" hidden="1" x14ac:dyDescent="0.25"/>
    <row r="3689" hidden="1" x14ac:dyDescent="0.25"/>
    <row r="3690" hidden="1" x14ac:dyDescent="0.25"/>
    <row r="3691" hidden="1" x14ac:dyDescent="0.25"/>
    <row r="3692" hidden="1" x14ac:dyDescent="0.25"/>
    <row r="3693" hidden="1" x14ac:dyDescent="0.25"/>
    <row r="3694" hidden="1" x14ac:dyDescent="0.25"/>
    <row r="3695" hidden="1" x14ac:dyDescent="0.25"/>
    <row r="3696" hidden="1" x14ac:dyDescent="0.25"/>
    <row r="3697" hidden="1" x14ac:dyDescent="0.25"/>
    <row r="3698" hidden="1" x14ac:dyDescent="0.25"/>
    <row r="3699" hidden="1" x14ac:dyDescent="0.25"/>
    <row r="3700" hidden="1" x14ac:dyDescent="0.25"/>
    <row r="3701" hidden="1" x14ac:dyDescent="0.25"/>
    <row r="3702" hidden="1" x14ac:dyDescent="0.25"/>
    <row r="3703" hidden="1" x14ac:dyDescent="0.25"/>
    <row r="3704" hidden="1" x14ac:dyDescent="0.25"/>
    <row r="3705" hidden="1" x14ac:dyDescent="0.25"/>
    <row r="3706" hidden="1" x14ac:dyDescent="0.25"/>
    <row r="3707" hidden="1" x14ac:dyDescent="0.25"/>
    <row r="3708" hidden="1" x14ac:dyDescent="0.25"/>
    <row r="3709" hidden="1" x14ac:dyDescent="0.25"/>
    <row r="3710" hidden="1" x14ac:dyDescent="0.25"/>
    <row r="3711" hidden="1" x14ac:dyDescent="0.25"/>
    <row r="3712" hidden="1" x14ac:dyDescent="0.25"/>
    <row r="3713" hidden="1" x14ac:dyDescent="0.25"/>
    <row r="3714" hidden="1" x14ac:dyDescent="0.25"/>
    <row r="3715" hidden="1" x14ac:dyDescent="0.25"/>
    <row r="3716" hidden="1" x14ac:dyDescent="0.25"/>
    <row r="3717" hidden="1" x14ac:dyDescent="0.25"/>
    <row r="3718" hidden="1" x14ac:dyDescent="0.25"/>
    <row r="3719" hidden="1" x14ac:dyDescent="0.25"/>
    <row r="3720" hidden="1" x14ac:dyDescent="0.25"/>
    <row r="3721" hidden="1" x14ac:dyDescent="0.25"/>
    <row r="3722" hidden="1" x14ac:dyDescent="0.25"/>
    <row r="3723" hidden="1" x14ac:dyDescent="0.25"/>
    <row r="3724" hidden="1" x14ac:dyDescent="0.25"/>
    <row r="3725" hidden="1" x14ac:dyDescent="0.25"/>
    <row r="3726" hidden="1" x14ac:dyDescent="0.25"/>
    <row r="3727" hidden="1" x14ac:dyDescent="0.25"/>
    <row r="3728" hidden="1" x14ac:dyDescent="0.25"/>
    <row r="3729" hidden="1" x14ac:dyDescent="0.25"/>
    <row r="3730" hidden="1" x14ac:dyDescent="0.25"/>
    <row r="3731" hidden="1" x14ac:dyDescent="0.25"/>
    <row r="3732" hidden="1" x14ac:dyDescent="0.25"/>
    <row r="3733" hidden="1" x14ac:dyDescent="0.25"/>
    <row r="3734" hidden="1" x14ac:dyDescent="0.25"/>
    <row r="3735" hidden="1" x14ac:dyDescent="0.25"/>
    <row r="3736" hidden="1" x14ac:dyDescent="0.25"/>
    <row r="3737" hidden="1" x14ac:dyDescent="0.25"/>
    <row r="3738" hidden="1" x14ac:dyDescent="0.25"/>
    <row r="3739" hidden="1" x14ac:dyDescent="0.25"/>
    <row r="3740" hidden="1" x14ac:dyDescent="0.25"/>
    <row r="3741" hidden="1" x14ac:dyDescent="0.25"/>
    <row r="3742" hidden="1" x14ac:dyDescent="0.25"/>
    <row r="3743" hidden="1" x14ac:dyDescent="0.25"/>
    <row r="3744" hidden="1" x14ac:dyDescent="0.25"/>
    <row r="3745" hidden="1" x14ac:dyDescent="0.25"/>
    <row r="3746" hidden="1" x14ac:dyDescent="0.25"/>
    <row r="3747" hidden="1" x14ac:dyDescent="0.25"/>
    <row r="3748" hidden="1" x14ac:dyDescent="0.25"/>
    <row r="3749" hidden="1" x14ac:dyDescent="0.25"/>
    <row r="3750" hidden="1" x14ac:dyDescent="0.25"/>
    <row r="3751" hidden="1" x14ac:dyDescent="0.25"/>
    <row r="3752" hidden="1" x14ac:dyDescent="0.25"/>
    <row r="3753" hidden="1" x14ac:dyDescent="0.25"/>
    <row r="3754" hidden="1" x14ac:dyDescent="0.25"/>
    <row r="3755" hidden="1" x14ac:dyDescent="0.25"/>
    <row r="3756" hidden="1" x14ac:dyDescent="0.25"/>
    <row r="3757" hidden="1" x14ac:dyDescent="0.25"/>
    <row r="3758" hidden="1" x14ac:dyDescent="0.25"/>
    <row r="3759" hidden="1" x14ac:dyDescent="0.25"/>
    <row r="3760" hidden="1" x14ac:dyDescent="0.25"/>
    <row r="3761" hidden="1" x14ac:dyDescent="0.25"/>
    <row r="3762" hidden="1" x14ac:dyDescent="0.25"/>
    <row r="3763" hidden="1" x14ac:dyDescent="0.25"/>
    <row r="3764" hidden="1" x14ac:dyDescent="0.25"/>
    <row r="3765" hidden="1" x14ac:dyDescent="0.25"/>
    <row r="3766" hidden="1" x14ac:dyDescent="0.25"/>
    <row r="3767" hidden="1" x14ac:dyDescent="0.25"/>
    <row r="3768" hidden="1" x14ac:dyDescent="0.25"/>
    <row r="3769" hidden="1" x14ac:dyDescent="0.25"/>
    <row r="3770" hidden="1" x14ac:dyDescent="0.25"/>
    <row r="3771" hidden="1" x14ac:dyDescent="0.25"/>
    <row r="3772" hidden="1" x14ac:dyDescent="0.25"/>
    <row r="3773" hidden="1" x14ac:dyDescent="0.25"/>
    <row r="3774" hidden="1" x14ac:dyDescent="0.25"/>
    <row r="3775" hidden="1" x14ac:dyDescent="0.25"/>
    <row r="3776" hidden="1" x14ac:dyDescent="0.25"/>
    <row r="3777" hidden="1" x14ac:dyDescent="0.25"/>
    <row r="3778" hidden="1" x14ac:dyDescent="0.25"/>
    <row r="3779" hidden="1" x14ac:dyDescent="0.25"/>
    <row r="3780" hidden="1" x14ac:dyDescent="0.25"/>
    <row r="3781" hidden="1" x14ac:dyDescent="0.25"/>
    <row r="3782" hidden="1" x14ac:dyDescent="0.25"/>
    <row r="3783" hidden="1" x14ac:dyDescent="0.25"/>
    <row r="3784" hidden="1" x14ac:dyDescent="0.25"/>
    <row r="3785" hidden="1" x14ac:dyDescent="0.25"/>
    <row r="3786" hidden="1" x14ac:dyDescent="0.25"/>
    <row r="3787" hidden="1" x14ac:dyDescent="0.25"/>
    <row r="3788" hidden="1" x14ac:dyDescent="0.25"/>
    <row r="3789" hidden="1" x14ac:dyDescent="0.25"/>
    <row r="3790" hidden="1" x14ac:dyDescent="0.25"/>
    <row r="3791" hidden="1" x14ac:dyDescent="0.25"/>
    <row r="3792" hidden="1" x14ac:dyDescent="0.25"/>
    <row r="3793" hidden="1" x14ac:dyDescent="0.25"/>
    <row r="3794" hidden="1" x14ac:dyDescent="0.25"/>
    <row r="3795" hidden="1" x14ac:dyDescent="0.25"/>
    <row r="3796" hidden="1" x14ac:dyDescent="0.25"/>
    <row r="3797" hidden="1" x14ac:dyDescent="0.25"/>
    <row r="3798" hidden="1" x14ac:dyDescent="0.25"/>
    <row r="3799" hidden="1" x14ac:dyDescent="0.25"/>
    <row r="3800" hidden="1" x14ac:dyDescent="0.25"/>
    <row r="3801" hidden="1" x14ac:dyDescent="0.25"/>
    <row r="3802" hidden="1" x14ac:dyDescent="0.25"/>
    <row r="3803" hidden="1" x14ac:dyDescent="0.25"/>
    <row r="3804" hidden="1" x14ac:dyDescent="0.25"/>
    <row r="3805" hidden="1" x14ac:dyDescent="0.25"/>
    <row r="3806" hidden="1" x14ac:dyDescent="0.25"/>
    <row r="3807" hidden="1" x14ac:dyDescent="0.25"/>
    <row r="3808" hidden="1" x14ac:dyDescent="0.25"/>
    <row r="3809" hidden="1" x14ac:dyDescent="0.25"/>
    <row r="3810" hidden="1" x14ac:dyDescent="0.25"/>
    <row r="3811" hidden="1" x14ac:dyDescent="0.25"/>
    <row r="3812" hidden="1" x14ac:dyDescent="0.25"/>
    <row r="3813" hidden="1" x14ac:dyDescent="0.25"/>
    <row r="3814" hidden="1" x14ac:dyDescent="0.25"/>
    <row r="3815" hidden="1" x14ac:dyDescent="0.25"/>
    <row r="3816" hidden="1" x14ac:dyDescent="0.25"/>
    <row r="3817" hidden="1" x14ac:dyDescent="0.25"/>
    <row r="3818" hidden="1" x14ac:dyDescent="0.25"/>
    <row r="3819" hidden="1" x14ac:dyDescent="0.25"/>
    <row r="3820" hidden="1" x14ac:dyDescent="0.25"/>
    <row r="3821" hidden="1" x14ac:dyDescent="0.25"/>
    <row r="3822" hidden="1" x14ac:dyDescent="0.25"/>
    <row r="3823" hidden="1" x14ac:dyDescent="0.25"/>
    <row r="3824" hidden="1" x14ac:dyDescent="0.25"/>
    <row r="3825" hidden="1" x14ac:dyDescent="0.25"/>
    <row r="3826" hidden="1" x14ac:dyDescent="0.25"/>
    <row r="3827" hidden="1" x14ac:dyDescent="0.25"/>
    <row r="3828" hidden="1" x14ac:dyDescent="0.25"/>
    <row r="3829" hidden="1" x14ac:dyDescent="0.25"/>
    <row r="3830" hidden="1" x14ac:dyDescent="0.25"/>
    <row r="3831" hidden="1" x14ac:dyDescent="0.25"/>
    <row r="3832" hidden="1" x14ac:dyDescent="0.25"/>
    <row r="3833" hidden="1" x14ac:dyDescent="0.25"/>
    <row r="3834" hidden="1" x14ac:dyDescent="0.25"/>
    <row r="3835" hidden="1" x14ac:dyDescent="0.25"/>
    <row r="3836" hidden="1" x14ac:dyDescent="0.25"/>
    <row r="3837" hidden="1" x14ac:dyDescent="0.25"/>
    <row r="3838" hidden="1" x14ac:dyDescent="0.25"/>
    <row r="3839" hidden="1" x14ac:dyDescent="0.25"/>
    <row r="3840" hidden="1" x14ac:dyDescent="0.25"/>
    <row r="3841" hidden="1" x14ac:dyDescent="0.25"/>
    <row r="3842" hidden="1" x14ac:dyDescent="0.25"/>
    <row r="3843" hidden="1" x14ac:dyDescent="0.25"/>
    <row r="3844" hidden="1" x14ac:dyDescent="0.25"/>
    <row r="3845" hidden="1" x14ac:dyDescent="0.25"/>
    <row r="3846" hidden="1" x14ac:dyDescent="0.25"/>
    <row r="3847" hidden="1" x14ac:dyDescent="0.25"/>
    <row r="3848" hidden="1" x14ac:dyDescent="0.25"/>
    <row r="3849" hidden="1" x14ac:dyDescent="0.25"/>
    <row r="3850" hidden="1" x14ac:dyDescent="0.25"/>
    <row r="3851" hidden="1" x14ac:dyDescent="0.25"/>
    <row r="3852" hidden="1" x14ac:dyDescent="0.25"/>
    <row r="3853" hidden="1" x14ac:dyDescent="0.25"/>
    <row r="3854" hidden="1" x14ac:dyDescent="0.25"/>
    <row r="3855" hidden="1" x14ac:dyDescent="0.25"/>
    <row r="3856" hidden="1" x14ac:dyDescent="0.25"/>
    <row r="3857" hidden="1" x14ac:dyDescent="0.25"/>
    <row r="3858" hidden="1" x14ac:dyDescent="0.25"/>
    <row r="3859" hidden="1" x14ac:dyDescent="0.25"/>
    <row r="3860" hidden="1" x14ac:dyDescent="0.25"/>
    <row r="3861" hidden="1" x14ac:dyDescent="0.25"/>
    <row r="3862" hidden="1" x14ac:dyDescent="0.25"/>
    <row r="3863" hidden="1" x14ac:dyDescent="0.25"/>
    <row r="3864" hidden="1" x14ac:dyDescent="0.25"/>
    <row r="3865" hidden="1" x14ac:dyDescent="0.25"/>
    <row r="3866" hidden="1" x14ac:dyDescent="0.25"/>
    <row r="3867" hidden="1" x14ac:dyDescent="0.25"/>
    <row r="3868" hidden="1" x14ac:dyDescent="0.25"/>
    <row r="3869" hidden="1" x14ac:dyDescent="0.25"/>
    <row r="3870" hidden="1" x14ac:dyDescent="0.25"/>
    <row r="3871" hidden="1" x14ac:dyDescent="0.25"/>
    <row r="3872" hidden="1" x14ac:dyDescent="0.25"/>
    <row r="3873" hidden="1" x14ac:dyDescent="0.25"/>
    <row r="3874" hidden="1" x14ac:dyDescent="0.25"/>
    <row r="3875" hidden="1" x14ac:dyDescent="0.25"/>
    <row r="3876" hidden="1" x14ac:dyDescent="0.25"/>
    <row r="3877" hidden="1" x14ac:dyDescent="0.25"/>
    <row r="3878" hidden="1" x14ac:dyDescent="0.25"/>
    <row r="3879" hidden="1" x14ac:dyDescent="0.25"/>
    <row r="3880" hidden="1" x14ac:dyDescent="0.25"/>
    <row r="3881" hidden="1" x14ac:dyDescent="0.25"/>
    <row r="3882" hidden="1" x14ac:dyDescent="0.25"/>
    <row r="3883" hidden="1" x14ac:dyDescent="0.25"/>
    <row r="3884" hidden="1" x14ac:dyDescent="0.25"/>
    <row r="3885" hidden="1" x14ac:dyDescent="0.25"/>
    <row r="3886" hidden="1" x14ac:dyDescent="0.25"/>
    <row r="3887" hidden="1" x14ac:dyDescent="0.25"/>
    <row r="3888" hidden="1" x14ac:dyDescent="0.25"/>
    <row r="3889" hidden="1" x14ac:dyDescent="0.25"/>
    <row r="3890" hidden="1" x14ac:dyDescent="0.25"/>
    <row r="3891" hidden="1" x14ac:dyDescent="0.25"/>
    <row r="3892" hidden="1" x14ac:dyDescent="0.25"/>
    <row r="3893" hidden="1" x14ac:dyDescent="0.25"/>
    <row r="3894" hidden="1" x14ac:dyDescent="0.25"/>
    <row r="3895" hidden="1" x14ac:dyDescent="0.25"/>
    <row r="3896" hidden="1" x14ac:dyDescent="0.25"/>
    <row r="3897" hidden="1" x14ac:dyDescent="0.25"/>
    <row r="3898" hidden="1" x14ac:dyDescent="0.25"/>
    <row r="3899" hidden="1" x14ac:dyDescent="0.25"/>
    <row r="3900" hidden="1" x14ac:dyDescent="0.25"/>
    <row r="3901" hidden="1" x14ac:dyDescent="0.25"/>
    <row r="3902" hidden="1" x14ac:dyDescent="0.25"/>
    <row r="3903" hidden="1" x14ac:dyDescent="0.25"/>
    <row r="3904" hidden="1" x14ac:dyDescent="0.25"/>
    <row r="3905" hidden="1" x14ac:dyDescent="0.25"/>
    <row r="3906" hidden="1" x14ac:dyDescent="0.25"/>
    <row r="3907" hidden="1" x14ac:dyDescent="0.25"/>
    <row r="3908" hidden="1" x14ac:dyDescent="0.25"/>
    <row r="3909" hidden="1" x14ac:dyDescent="0.25"/>
    <row r="3910" hidden="1" x14ac:dyDescent="0.25"/>
    <row r="3911" hidden="1" x14ac:dyDescent="0.25"/>
    <row r="3912" hidden="1" x14ac:dyDescent="0.25"/>
    <row r="3913" hidden="1" x14ac:dyDescent="0.25"/>
    <row r="3914" hidden="1" x14ac:dyDescent="0.25"/>
    <row r="3915" hidden="1" x14ac:dyDescent="0.25"/>
    <row r="3916" hidden="1" x14ac:dyDescent="0.25"/>
    <row r="3917" hidden="1" x14ac:dyDescent="0.25"/>
    <row r="3918" hidden="1" x14ac:dyDescent="0.25"/>
    <row r="3919" hidden="1" x14ac:dyDescent="0.25"/>
    <row r="3920" hidden="1" x14ac:dyDescent="0.25"/>
    <row r="3921" hidden="1" x14ac:dyDescent="0.25"/>
    <row r="3922" hidden="1" x14ac:dyDescent="0.25"/>
    <row r="3923" hidden="1" x14ac:dyDescent="0.25"/>
    <row r="3924" hidden="1" x14ac:dyDescent="0.25"/>
    <row r="3925" hidden="1" x14ac:dyDescent="0.25"/>
    <row r="3926" hidden="1" x14ac:dyDescent="0.25"/>
    <row r="3927" hidden="1" x14ac:dyDescent="0.25"/>
    <row r="3928" hidden="1" x14ac:dyDescent="0.25"/>
    <row r="3929" hidden="1" x14ac:dyDescent="0.25"/>
    <row r="3930" hidden="1" x14ac:dyDescent="0.25"/>
    <row r="3931" hidden="1" x14ac:dyDescent="0.25"/>
    <row r="3932" hidden="1" x14ac:dyDescent="0.25"/>
    <row r="3933" hidden="1" x14ac:dyDescent="0.25"/>
    <row r="3934" hidden="1" x14ac:dyDescent="0.25"/>
    <row r="3935" hidden="1" x14ac:dyDescent="0.25"/>
    <row r="3936" hidden="1" x14ac:dyDescent="0.25"/>
    <row r="3937" hidden="1" x14ac:dyDescent="0.25"/>
    <row r="3938" hidden="1" x14ac:dyDescent="0.25"/>
    <row r="3939" hidden="1" x14ac:dyDescent="0.25"/>
    <row r="3940" hidden="1" x14ac:dyDescent="0.25"/>
    <row r="3941" hidden="1" x14ac:dyDescent="0.25"/>
    <row r="3942" hidden="1" x14ac:dyDescent="0.25"/>
    <row r="3943" hidden="1" x14ac:dyDescent="0.25"/>
    <row r="3944" hidden="1" x14ac:dyDescent="0.25"/>
    <row r="3945" hidden="1" x14ac:dyDescent="0.25"/>
    <row r="3946" hidden="1" x14ac:dyDescent="0.25"/>
    <row r="3947" hidden="1" x14ac:dyDescent="0.25"/>
    <row r="3948" hidden="1" x14ac:dyDescent="0.25"/>
    <row r="3949" hidden="1" x14ac:dyDescent="0.25"/>
    <row r="3950" hidden="1" x14ac:dyDescent="0.25"/>
    <row r="3951" hidden="1" x14ac:dyDescent="0.25"/>
    <row r="3952" hidden="1" x14ac:dyDescent="0.25"/>
    <row r="3953" hidden="1" x14ac:dyDescent="0.25"/>
    <row r="3954" hidden="1" x14ac:dyDescent="0.25"/>
    <row r="3955" hidden="1" x14ac:dyDescent="0.25"/>
    <row r="3956" hidden="1" x14ac:dyDescent="0.25"/>
    <row r="3957" hidden="1" x14ac:dyDescent="0.25"/>
    <row r="3958" hidden="1" x14ac:dyDescent="0.25"/>
    <row r="3959" hidden="1" x14ac:dyDescent="0.25"/>
    <row r="3960" hidden="1" x14ac:dyDescent="0.25"/>
    <row r="3961" hidden="1" x14ac:dyDescent="0.25"/>
    <row r="3962" hidden="1" x14ac:dyDescent="0.25"/>
    <row r="3963" hidden="1" x14ac:dyDescent="0.25"/>
    <row r="3964" hidden="1" x14ac:dyDescent="0.25"/>
    <row r="3965" hidden="1" x14ac:dyDescent="0.25"/>
    <row r="3966" hidden="1" x14ac:dyDescent="0.25"/>
    <row r="3967" hidden="1" x14ac:dyDescent="0.25"/>
    <row r="3968" hidden="1" x14ac:dyDescent="0.25"/>
    <row r="3969" hidden="1" x14ac:dyDescent="0.25"/>
    <row r="3970" hidden="1" x14ac:dyDescent="0.25"/>
    <row r="3971" hidden="1" x14ac:dyDescent="0.25"/>
    <row r="3972" hidden="1" x14ac:dyDescent="0.25"/>
    <row r="3973" hidden="1" x14ac:dyDescent="0.25"/>
    <row r="3974" hidden="1" x14ac:dyDescent="0.25"/>
    <row r="3975" hidden="1" x14ac:dyDescent="0.25"/>
    <row r="3976" hidden="1" x14ac:dyDescent="0.25"/>
    <row r="3977" hidden="1" x14ac:dyDescent="0.25"/>
    <row r="3978" hidden="1" x14ac:dyDescent="0.25"/>
    <row r="3979" hidden="1" x14ac:dyDescent="0.25"/>
    <row r="3980" hidden="1" x14ac:dyDescent="0.25"/>
    <row r="3981" hidden="1" x14ac:dyDescent="0.25"/>
    <row r="3982" hidden="1" x14ac:dyDescent="0.25"/>
    <row r="3983" hidden="1" x14ac:dyDescent="0.25"/>
    <row r="3984" hidden="1" x14ac:dyDescent="0.25"/>
    <row r="3985" hidden="1" x14ac:dyDescent="0.25"/>
    <row r="3986" hidden="1" x14ac:dyDescent="0.25"/>
    <row r="3987" hidden="1" x14ac:dyDescent="0.25"/>
    <row r="3988" hidden="1" x14ac:dyDescent="0.25"/>
    <row r="3989" hidden="1" x14ac:dyDescent="0.25"/>
    <row r="3990" hidden="1" x14ac:dyDescent="0.25"/>
    <row r="3991" hidden="1" x14ac:dyDescent="0.25"/>
    <row r="3992" hidden="1" x14ac:dyDescent="0.25"/>
    <row r="3993" hidden="1" x14ac:dyDescent="0.25"/>
    <row r="3994" hidden="1" x14ac:dyDescent="0.25"/>
    <row r="3995" hidden="1" x14ac:dyDescent="0.25"/>
    <row r="3996" hidden="1" x14ac:dyDescent="0.25"/>
    <row r="3997" hidden="1" x14ac:dyDescent="0.25"/>
    <row r="3998" hidden="1" x14ac:dyDescent="0.25"/>
    <row r="3999" hidden="1" x14ac:dyDescent="0.25"/>
    <row r="4000" hidden="1" x14ac:dyDescent="0.25"/>
    <row r="4001" hidden="1" x14ac:dyDescent="0.25"/>
    <row r="4002" hidden="1" x14ac:dyDescent="0.25"/>
    <row r="4003" hidden="1" x14ac:dyDescent="0.25"/>
    <row r="4004" hidden="1" x14ac:dyDescent="0.25"/>
    <row r="4005" hidden="1" x14ac:dyDescent="0.25"/>
    <row r="4006" hidden="1" x14ac:dyDescent="0.25"/>
    <row r="4007" hidden="1" x14ac:dyDescent="0.25"/>
    <row r="4008" hidden="1" x14ac:dyDescent="0.25"/>
    <row r="4009" hidden="1" x14ac:dyDescent="0.25"/>
    <row r="4010" hidden="1" x14ac:dyDescent="0.25"/>
    <row r="4011" hidden="1" x14ac:dyDescent="0.25"/>
    <row r="4012" hidden="1" x14ac:dyDescent="0.25"/>
    <row r="4013" hidden="1" x14ac:dyDescent="0.25"/>
    <row r="4014" hidden="1" x14ac:dyDescent="0.25"/>
    <row r="4015" hidden="1" x14ac:dyDescent="0.25"/>
    <row r="4016" hidden="1" x14ac:dyDescent="0.25"/>
    <row r="4017" hidden="1" x14ac:dyDescent="0.25"/>
    <row r="4018" hidden="1" x14ac:dyDescent="0.25"/>
    <row r="4019" hidden="1" x14ac:dyDescent="0.25"/>
    <row r="4020" hidden="1" x14ac:dyDescent="0.25"/>
    <row r="4021" hidden="1" x14ac:dyDescent="0.25"/>
    <row r="4022" hidden="1" x14ac:dyDescent="0.25"/>
    <row r="4023" hidden="1" x14ac:dyDescent="0.25"/>
    <row r="4024" hidden="1" x14ac:dyDescent="0.25"/>
    <row r="4025" hidden="1" x14ac:dyDescent="0.25"/>
    <row r="4026" hidden="1" x14ac:dyDescent="0.25"/>
    <row r="4027" hidden="1" x14ac:dyDescent="0.25"/>
    <row r="4028" hidden="1" x14ac:dyDescent="0.25"/>
    <row r="4029" hidden="1" x14ac:dyDescent="0.25"/>
    <row r="4030" hidden="1" x14ac:dyDescent="0.25"/>
    <row r="4031" hidden="1" x14ac:dyDescent="0.25"/>
    <row r="4032" hidden="1" x14ac:dyDescent="0.25"/>
    <row r="4033" hidden="1" x14ac:dyDescent="0.25"/>
    <row r="4034" hidden="1" x14ac:dyDescent="0.25"/>
    <row r="4035" hidden="1" x14ac:dyDescent="0.25"/>
    <row r="4036" hidden="1" x14ac:dyDescent="0.25"/>
    <row r="4037" hidden="1" x14ac:dyDescent="0.25"/>
    <row r="4038" hidden="1" x14ac:dyDescent="0.25"/>
    <row r="4039" hidden="1" x14ac:dyDescent="0.25"/>
    <row r="4040" hidden="1" x14ac:dyDescent="0.25"/>
    <row r="4041" hidden="1" x14ac:dyDescent="0.25"/>
    <row r="4042" hidden="1" x14ac:dyDescent="0.25"/>
    <row r="4043" hidden="1" x14ac:dyDescent="0.25"/>
    <row r="4044" hidden="1" x14ac:dyDescent="0.25"/>
    <row r="4045" hidden="1" x14ac:dyDescent="0.25"/>
    <row r="4046" hidden="1" x14ac:dyDescent="0.25"/>
    <row r="4047" hidden="1" x14ac:dyDescent="0.25"/>
    <row r="4048" hidden="1" x14ac:dyDescent="0.25"/>
    <row r="4049" hidden="1" x14ac:dyDescent="0.25"/>
    <row r="4050" hidden="1" x14ac:dyDescent="0.25"/>
    <row r="4051" hidden="1" x14ac:dyDescent="0.25"/>
    <row r="4052" hidden="1" x14ac:dyDescent="0.25"/>
    <row r="4053" hidden="1" x14ac:dyDescent="0.25"/>
    <row r="4054" hidden="1" x14ac:dyDescent="0.25"/>
    <row r="4055" hidden="1" x14ac:dyDescent="0.25"/>
    <row r="4056" hidden="1" x14ac:dyDescent="0.25"/>
    <row r="4057" hidden="1" x14ac:dyDescent="0.25"/>
    <row r="4058" hidden="1" x14ac:dyDescent="0.25"/>
    <row r="4059" hidden="1" x14ac:dyDescent="0.25"/>
    <row r="4060" hidden="1" x14ac:dyDescent="0.25"/>
    <row r="4061" hidden="1" x14ac:dyDescent="0.25"/>
    <row r="4062" hidden="1" x14ac:dyDescent="0.25"/>
    <row r="4063" hidden="1" x14ac:dyDescent="0.25"/>
    <row r="4064" hidden="1" x14ac:dyDescent="0.25"/>
    <row r="4065" hidden="1" x14ac:dyDescent="0.25"/>
    <row r="4066" hidden="1" x14ac:dyDescent="0.25"/>
    <row r="4067" hidden="1" x14ac:dyDescent="0.25"/>
    <row r="4068" hidden="1" x14ac:dyDescent="0.25"/>
    <row r="4069" hidden="1" x14ac:dyDescent="0.25"/>
    <row r="4070" hidden="1" x14ac:dyDescent="0.25"/>
    <row r="4071" hidden="1" x14ac:dyDescent="0.25"/>
    <row r="4072" hidden="1" x14ac:dyDescent="0.25"/>
    <row r="4073" hidden="1" x14ac:dyDescent="0.25"/>
    <row r="4074" hidden="1" x14ac:dyDescent="0.25"/>
    <row r="4075" hidden="1" x14ac:dyDescent="0.25"/>
    <row r="4076" hidden="1" x14ac:dyDescent="0.25"/>
    <row r="4077" hidden="1" x14ac:dyDescent="0.25"/>
    <row r="4078" hidden="1" x14ac:dyDescent="0.25"/>
    <row r="4079" hidden="1" x14ac:dyDescent="0.25"/>
    <row r="4080" hidden="1" x14ac:dyDescent="0.25"/>
    <row r="4081" hidden="1" x14ac:dyDescent="0.25"/>
    <row r="4082" hidden="1" x14ac:dyDescent="0.25"/>
    <row r="4083" hidden="1" x14ac:dyDescent="0.25"/>
    <row r="4084" hidden="1" x14ac:dyDescent="0.25"/>
    <row r="4085" hidden="1" x14ac:dyDescent="0.25"/>
    <row r="4086" hidden="1" x14ac:dyDescent="0.25"/>
    <row r="4087" hidden="1" x14ac:dyDescent="0.25"/>
    <row r="4088" hidden="1" x14ac:dyDescent="0.25"/>
    <row r="4089" hidden="1" x14ac:dyDescent="0.25"/>
    <row r="4090" hidden="1" x14ac:dyDescent="0.25"/>
    <row r="4091" hidden="1" x14ac:dyDescent="0.25"/>
    <row r="4092" hidden="1" x14ac:dyDescent="0.25"/>
    <row r="4093" hidden="1" x14ac:dyDescent="0.25"/>
    <row r="4094" hidden="1" x14ac:dyDescent="0.25"/>
    <row r="4095" hidden="1" x14ac:dyDescent="0.25"/>
    <row r="4096" hidden="1" x14ac:dyDescent="0.25"/>
    <row r="4097" hidden="1" x14ac:dyDescent="0.25"/>
    <row r="4098" hidden="1" x14ac:dyDescent="0.25"/>
    <row r="4099" hidden="1" x14ac:dyDescent="0.25"/>
    <row r="4100" hidden="1" x14ac:dyDescent="0.25"/>
    <row r="4101" hidden="1" x14ac:dyDescent="0.25"/>
    <row r="4102" hidden="1" x14ac:dyDescent="0.25"/>
    <row r="4103" hidden="1" x14ac:dyDescent="0.25"/>
    <row r="4104" hidden="1" x14ac:dyDescent="0.25"/>
    <row r="4105" hidden="1" x14ac:dyDescent="0.25"/>
    <row r="4106" hidden="1" x14ac:dyDescent="0.25"/>
    <row r="4107" hidden="1" x14ac:dyDescent="0.25"/>
    <row r="4108" hidden="1" x14ac:dyDescent="0.25"/>
    <row r="4109" hidden="1" x14ac:dyDescent="0.25"/>
    <row r="4110" hidden="1" x14ac:dyDescent="0.25"/>
    <row r="4111" hidden="1" x14ac:dyDescent="0.25"/>
    <row r="4112" hidden="1" x14ac:dyDescent="0.25"/>
    <row r="4113" hidden="1" x14ac:dyDescent="0.25"/>
    <row r="4114" hidden="1" x14ac:dyDescent="0.25"/>
    <row r="4115" hidden="1" x14ac:dyDescent="0.25"/>
    <row r="4116" hidden="1" x14ac:dyDescent="0.25"/>
    <row r="4117" hidden="1" x14ac:dyDescent="0.25"/>
    <row r="4118" hidden="1" x14ac:dyDescent="0.25"/>
    <row r="4119" hidden="1" x14ac:dyDescent="0.25"/>
    <row r="4120" hidden="1" x14ac:dyDescent="0.25"/>
    <row r="4121" hidden="1" x14ac:dyDescent="0.25"/>
    <row r="4122" hidden="1" x14ac:dyDescent="0.25"/>
    <row r="4123" hidden="1" x14ac:dyDescent="0.25"/>
    <row r="4124" hidden="1" x14ac:dyDescent="0.25"/>
    <row r="4125" hidden="1" x14ac:dyDescent="0.25"/>
    <row r="4126" hidden="1" x14ac:dyDescent="0.25"/>
    <row r="4127" hidden="1" x14ac:dyDescent="0.25"/>
    <row r="4128" hidden="1" x14ac:dyDescent="0.25"/>
    <row r="4129" hidden="1" x14ac:dyDescent="0.25"/>
    <row r="4130" hidden="1" x14ac:dyDescent="0.25"/>
    <row r="4131" hidden="1" x14ac:dyDescent="0.25"/>
    <row r="4132" hidden="1" x14ac:dyDescent="0.25"/>
    <row r="4133" hidden="1" x14ac:dyDescent="0.25"/>
    <row r="4134" hidden="1" x14ac:dyDescent="0.25"/>
    <row r="4135" hidden="1" x14ac:dyDescent="0.25"/>
    <row r="4136" hidden="1" x14ac:dyDescent="0.25"/>
    <row r="4137" hidden="1" x14ac:dyDescent="0.25"/>
    <row r="4138" hidden="1" x14ac:dyDescent="0.25"/>
    <row r="4139" hidden="1" x14ac:dyDescent="0.25"/>
    <row r="4140" hidden="1" x14ac:dyDescent="0.25"/>
    <row r="4141" hidden="1" x14ac:dyDescent="0.25"/>
    <row r="4142" hidden="1" x14ac:dyDescent="0.25"/>
    <row r="4143" hidden="1" x14ac:dyDescent="0.25"/>
    <row r="4144" hidden="1" x14ac:dyDescent="0.25"/>
    <row r="4145" hidden="1" x14ac:dyDescent="0.25"/>
    <row r="4146" hidden="1" x14ac:dyDescent="0.25"/>
    <row r="4147" hidden="1" x14ac:dyDescent="0.25"/>
    <row r="4148" hidden="1" x14ac:dyDescent="0.25"/>
    <row r="4149" hidden="1" x14ac:dyDescent="0.25"/>
    <row r="4150" hidden="1" x14ac:dyDescent="0.25"/>
    <row r="4151" hidden="1" x14ac:dyDescent="0.25"/>
    <row r="4152" hidden="1" x14ac:dyDescent="0.25"/>
    <row r="4153" hidden="1" x14ac:dyDescent="0.25"/>
    <row r="4154" hidden="1" x14ac:dyDescent="0.25"/>
    <row r="4155" hidden="1" x14ac:dyDescent="0.25"/>
    <row r="4156" hidden="1" x14ac:dyDescent="0.25"/>
    <row r="4157" hidden="1" x14ac:dyDescent="0.25"/>
    <row r="4158" hidden="1" x14ac:dyDescent="0.25"/>
    <row r="4159" hidden="1" x14ac:dyDescent="0.25"/>
    <row r="4160" hidden="1" x14ac:dyDescent="0.25"/>
    <row r="4161" hidden="1" x14ac:dyDescent="0.25"/>
    <row r="4162" hidden="1" x14ac:dyDescent="0.25"/>
    <row r="4163" hidden="1" x14ac:dyDescent="0.25"/>
    <row r="4164" hidden="1" x14ac:dyDescent="0.25"/>
    <row r="4165" hidden="1" x14ac:dyDescent="0.25"/>
    <row r="4166" hidden="1" x14ac:dyDescent="0.25"/>
    <row r="4167" hidden="1" x14ac:dyDescent="0.25"/>
    <row r="4168" hidden="1" x14ac:dyDescent="0.25"/>
    <row r="4169" hidden="1" x14ac:dyDescent="0.25"/>
    <row r="4170" hidden="1" x14ac:dyDescent="0.25"/>
    <row r="4171" hidden="1" x14ac:dyDescent="0.25"/>
    <row r="4172" hidden="1" x14ac:dyDescent="0.25"/>
    <row r="4173" hidden="1" x14ac:dyDescent="0.25"/>
    <row r="4174" hidden="1" x14ac:dyDescent="0.25"/>
    <row r="4175" hidden="1" x14ac:dyDescent="0.25"/>
    <row r="4176" hidden="1" x14ac:dyDescent="0.25"/>
    <row r="4177" hidden="1" x14ac:dyDescent="0.25"/>
    <row r="4178" hidden="1" x14ac:dyDescent="0.25"/>
    <row r="4179" hidden="1" x14ac:dyDescent="0.25"/>
    <row r="4180" hidden="1" x14ac:dyDescent="0.25"/>
    <row r="4181" hidden="1" x14ac:dyDescent="0.25"/>
    <row r="4182" hidden="1" x14ac:dyDescent="0.25"/>
    <row r="4183" hidden="1" x14ac:dyDescent="0.25"/>
    <row r="4184" hidden="1" x14ac:dyDescent="0.25"/>
    <row r="4185" hidden="1" x14ac:dyDescent="0.25"/>
    <row r="4186" hidden="1" x14ac:dyDescent="0.25"/>
    <row r="4187" hidden="1" x14ac:dyDescent="0.25"/>
    <row r="4188" hidden="1" x14ac:dyDescent="0.25"/>
    <row r="4189" hidden="1" x14ac:dyDescent="0.25"/>
    <row r="4190" hidden="1" x14ac:dyDescent="0.25"/>
    <row r="4191" hidden="1" x14ac:dyDescent="0.25"/>
    <row r="4192" hidden="1" x14ac:dyDescent="0.25"/>
    <row r="4193" hidden="1" x14ac:dyDescent="0.25"/>
    <row r="4194" hidden="1" x14ac:dyDescent="0.25"/>
    <row r="4195" hidden="1" x14ac:dyDescent="0.25"/>
    <row r="4196" hidden="1" x14ac:dyDescent="0.25"/>
    <row r="4197" hidden="1" x14ac:dyDescent="0.25"/>
    <row r="4198" hidden="1" x14ac:dyDescent="0.25"/>
    <row r="4199" hidden="1" x14ac:dyDescent="0.25"/>
    <row r="4200" hidden="1" x14ac:dyDescent="0.25"/>
    <row r="4201" hidden="1" x14ac:dyDescent="0.25"/>
    <row r="4202" hidden="1" x14ac:dyDescent="0.25"/>
    <row r="4203" hidden="1" x14ac:dyDescent="0.25"/>
    <row r="4204" hidden="1" x14ac:dyDescent="0.25"/>
    <row r="4205" hidden="1" x14ac:dyDescent="0.25"/>
    <row r="4206" hidden="1" x14ac:dyDescent="0.25"/>
    <row r="4207" hidden="1" x14ac:dyDescent="0.25"/>
    <row r="4208" hidden="1" x14ac:dyDescent="0.25"/>
    <row r="4209" hidden="1" x14ac:dyDescent="0.25"/>
    <row r="4210" hidden="1" x14ac:dyDescent="0.25"/>
    <row r="4211" hidden="1" x14ac:dyDescent="0.25"/>
    <row r="4212" hidden="1" x14ac:dyDescent="0.25"/>
    <row r="4213" hidden="1" x14ac:dyDescent="0.25"/>
    <row r="4214" hidden="1" x14ac:dyDescent="0.25"/>
    <row r="4215" hidden="1" x14ac:dyDescent="0.25"/>
    <row r="4216" hidden="1" x14ac:dyDescent="0.25"/>
    <row r="4217" hidden="1" x14ac:dyDescent="0.25"/>
    <row r="4218" hidden="1" x14ac:dyDescent="0.25"/>
    <row r="4219" hidden="1" x14ac:dyDescent="0.25"/>
    <row r="4220" hidden="1" x14ac:dyDescent="0.25"/>
    <row r="4221" hidden="1" x14ac:dyDescent="0.25"/>
    <row r="4222" hidden="1" x14ac:dyDescent="0.25"/>
    <row r="4223" hidden="1" x14ac:dyDescent="0.25"/>
    <row r="4224" hidden="1" x14ac:dyDescent="0.25"/>
    <row r="4225" hidden="1" x14ac:dyDescent="0.25"/>
    <row r="4226" hidden="1" x14ac:dyDescent="0.25"/>
    <row r="4227" hidden="1" x14ac:dyDescent="0.25"/>
    <row r="4228" hidden="1" x14ac:dyDescent="0.25"/>
    <row r="4229" hidden="1" x14ac:dyDescent="0.25"/>
    <row r="4230" hidden="1" x14ac:dyDescent="0.25"/>
    <row r="4231" hidden="1" x14ac:dyDescent="0.25"/>
    <row r="4232" hidden="1" x14ac:dyDescent="0.25"/>
    <row r="4233" hidden="1" x14ac:dyDescent="0.25"/>
    <row r="4234" hidden="1" x14ac:dyDescent="0.25"/>
    <row r="4235" hidden="1" x14ac:dyDescent="0.25"/>
    <row r="4236" hidden="1" x14ac:dyDescent="0.25"/>
    <row r="4237" hidden="1" x14ac:dyDescent="0.25"/>
    <row r="4238" hidden="1" x14ac:dyDescent="0.25"/>
    <row r="4239" hidden="1" x14ac:dyDescent="0.25"/>
    <row r="4240" hidden="1" x14ac:dyDescent="0.25"/>
    <row r="4241" hidden="1" x14ac:dyDescent="0.25"/>
    <row r="4242" hidden="1" x14ac:dyDescent="0.25"/>
    <row r="4243" hidden="1" x14ac:dyDescent="0.25"/>
    <row r="4244" hidden="1" x14ac:dyDescent="0.25"/>
    <row r="4245" hidden="1" x14ac:dyDescent="0.25"/>
    <row r="4246" hidden="1" x14ac:dyDescent="0.25"/>
    <row r="4247" hidden="1" x14ac:dyDescent="0.25"/>
    <row r="4248" hidden="1" x14ac:dyDescent="0.25"/>
    <row r="4249" hidden="1" x14ac:dyDescent="0.25"/>
    <row r="4250" hidden="1" x14ac:dyDescent="0.25"/>
    <row r="4251" hidden="1" x14ac:dyDescent="0.25"/>
    <row r="4252" hidden="1" x14ac:dyDescent="0.25"/>
    <row r="4253" hidden="1" x14ac:dyDescent="0.25"/>
    <row r="4254" hidden="1" x14ac:dyDescent="0.25"/>
    <row r="4255" hidden="1" x14ac:dyDescent="0.25"/>
    <row r="4256" hidden="1" x14ac:dyDescent="0.25"/>
    <row r="4257" hidden="1" x14ac:dyDescent="0.25"/>
    <row r="4258" hidden="1" x14ac:dyDescent="0.25"/>
    <row r="4259" hidden="1" x14ac:dyDescent="0.25"/>
    <row r="4260" hidden="1" x14ac:dyDescent="0.25"/>
    <row r="4261" hidden="1" x14ac:dyDescent="0.25"/>
    <row r="4262" hidden="1" x14ac:dyDescent="0.25"/>
    <row r="4263" hidden="1" x14ac:dyDescent="0.25"/>
    <row r="4264" hidden="1" x14ac:dyDescent="0.25"/>
    <row r="4265" hidden="1" x14ac:dyDescent="0.25"/>
    <row r="4266" hidden="1" x14ac:dyDescent="0.25"/>
    <row r="4267" hidden="1" x14ac:dyDescent="0.25"/>
    <row r="4268" hidden="1" x14ac:dyDescent="0.25"/>
    <row r="4269" hidden="1" x14ac:dyDescent="0.25"/>
    <row r="4270" hidden="1" x14ac:dyDescent="0.25"/>
    <row r="4271" hidden="1" x14ac:dyDescent="0.25"/>
    <row r="4272" hidden="1" x14ac:dyDescent="0.25"/>
    <row r="4273" hidden="1" x14ac:dyDescent="0.25"/>
    <row r="4274" hidden="1" x14ac:dyDescent="0.25"/>
    <row r="4275" hidden="1" x14ac:dyDescent="0.25"/>
    <row r="4276" hidden="1" x14ac:dyDescent="0.25"/>
    <row r="4277" hidden="1" x14ac:dyDescent="0.25"/>
    <row r="4278" hidden="1" x14ac:dyDescent="0.25"/>
    <row r="4279" hidden="1" x14ac:dyDescent="0.25"/>
    <row r="4280" hidden="1" x14ac:dyDescent="0.25"/>
    <row r="4281" hidden="1" x14ac:dyDescent="0.25"/>
    <row r="4282" hidden="1" x14ac:dyDescent="0.25"/>
    <row r="4283" hidden="1" x14ac:dyDescent="0.25"/>
    <row r="4284" hidden="1" x14ac:dyDescent="0.25"/>
    <row r="4285" hidden="1" x14ac:dyDescent="0.25"/>
    <row r="4286" hidden="1" x14ac:dyDescent="0.25"/>
    <row r="4287" hidden="1" x14ac:dyDescent="0.25"/>
    <row r="4288" hidden="1" x14ac:dyDescent="0.25"/>
    <row r="4289" hidden="1" x14ac:dyDescent="0.25"/>
    <row r="4290" hidden="1" x14ac:dyDescent="0.25"/>
    <row r="4291" hidden="1" x14ac:dyDescent="0.25"/>
    <row r="4292" hidden="1" x14ac:dyDescent="0.25"/>
    <row r="4293" hidden="1" x14ac:dyDescent="0.25"/>
    <row r="4294" hidden="1" x14ac:dyDescent="0.25"/>
    <row r="4295" hidden="1" x14ac:dyDescent="0.25"/>
    <row r="4296" hidden="1" x14ac:dyDescent="0.25"/>
    <row r="4297" hidden="1" x14ac:dyDescent="0.25"/>
    <row r="4298" hidden="1" x14ac:dyDescent="0.25"/>
    <row r="4299" hidden="1" x14ac:dyDescent="0.25"/>
    <row r="4300" hidden="1" x14ac:dyDescent="0.25"/>
    <row r="4301" hidden="1" x14ac:dyDescent="0.25"/>
    <row r="4302" hidden="1" x14ac:dyDescent="0.25"/>
    <row r="4303" hidden="1" x14ac:dyDescent="0.25"/>
    <row r="4304" hidden="1" x14ac:dyDescent="0.25"/>
    <row r="4305" hidden="1" x14ac:dyDescent="0.25"/>
    <row r="4306" hidden="1" x14ac:dyDescent="0.25"/>
    <row r="4307" hidden="1" x14ac:dyDescent="0.25"/>
    <row r="4308" hidden="1" x14ac:dyDescent="0.25"/>
    <row r="4309" hidden="1" x14ac:dyDescent="0.25"/>
    <row r="4310" hidden="1" x14ac:dyDescent="0.25"/>
    <row r="4311" hidden="1" x14ac:dyDescent="0.25"/>
    <row r="4312" hidden="1" x14ac:dyDescent="0.25"/>
    <row r="4313" hidden="1" x14ac:dyDescent="0.25"/>
    <row r="4314" hidden="1" x14ac:dyDescent="0.25"/>
    <row r="4315" hidden="1" x14ac:dyDescent="0.25"/>
    <row r="4316" hidden="1" x14ac:dyDescent="0.25"/>
    <row r="4317" hidden="1" x14ac:dyDescent="0.25"/>
    <row r="4318" hidden="1" x14ac:dyDescent="0.25"/>
    <row r="4319" hidden="1" x14ac:dyDescent="0.25"/>
    <row r="4320" hidden="1" x14ac:dyDescent="0.25"/>
    <row r="4321" hidden="1" x14ac:dyDescent="0.25"/>
    <row r="4322" hidden="1" x14ac:dyDescent="0.25"/>
    <row r="4323" hidden="1" x14ac:dyDescent="0.25"/>
    <row r="4324" hidden="1" x14ac:dyDescent="0.25"/>
    <row r="4325" hidden="1" x14ac:dyDescent="0.25"/>
    <row r="4326" hidden="1" x14ac:dyDescent="0.25"/>
    <row r="4327" hidden="1" x14ac:dyDescent="0.25"/>
    <row r="4328" hidden="1" x14ac:dyDescent="0.25"/>
    <row r="4329" hidden="1" x14ac:dyDescent="0.25"/>
    <row r="4330" hidden="1" x14ac:dyDescent="0.25"/>
    <row r="4331" hidden="1" x14ac:dyDescent="0.25"/>
    <row r="4332" hidden="1" x14ac:dyDescent="0.25"/>
    <row r="4333" hidden="1" x14ac:dyDescent="0.25"/>
    <row r="4334" hidden="1" x14ac:dyDescent="0.25"/>
    <row r="4335" hidden="1" x14ac:dyDescent="0.25"/>
    <row r="4336" hidden="1" x14ac:dyDescent="0.25"/>
    <row r="4337" hidden="1" x14ac:dyDescent="0.25"/>
    <row r="4338" hidden="1" x14ac:dyDescent="0.25"/>
    <row r="4339" hidden="1" x14ac:dyDescent="0.25"/>
    <row r="4340" hidden="1" x14ac:dyDescent="0.25"/>
    <row r="4341" hidden="1" x14ac:dyDescent="0.25"/>
    <row r="4342" hidden="1" x14ac:dyDescent="0.25"/>
    <row r="4343" hidden="1" x14ac:dyDescent="0.25"/>
    <row r="4344" hidden="1" x14ac:dyDescent="0.25"/>
    <row r="4345" hidden="1" x14ac:dyDescent="0.25"/>
    <row r="4346" hidden="1" x14ac:dyDescent="0.25"/>
    <row r="4347" hidden="1" x14ac:dyDescent="0.25"/>
    <row r="4348" hidden="1" x14ac:dyDescent="0.25"/>
    <row r="4349" hidden="1" x14ac:dyDescent="0.25"/>
    <row r="4350" hidden="1" x14ac:dyDescent="0.25"/>
    <row r="4351" hidden="1" x14ac:dyDescent="0.25"/>
    <row r="4352" hidden="1" x14ac:dyDescent="0.25"/>
    <row r="4353" hidden="1" x14ac:dyDescent="0.25"/>
    <row r="4354" hidden="1" x14ac:dyDescent="0.25"/>
    <row r="4355" hidden="1" x14ac:dyDescent="0.25"/>
    <row r="4356" hidden="1" x14ac:dyDescent="0.25"/>
    <row r="4357" hidden="1" x14ac:dyDescent="0.25"/>
    <row r="4358" hidden="1" x14ac:dyDescent="0.25"/>
    <row r="4359" hidden="1" x14ac:dyDescent="0.25"/>
    <row r="4360" hidden="1" x14ac:dyDescent="0.25"/>
    <row r="4361" hidden="1" x14ac:dyDescent="0.25"/>
    <row r="4362" hidden="1" x14ac:dyDescent="0.25"/>
    <row r="4363" hidden="1" x14ac:dyDescent="0.25"/>
    <row r="4364" hidden="1" x14ac:dyDescent="0.25"/>
    <row r="4365" hidden="1" x14ac:dyDescent="0.25"/>
    <row r="4366" hidden="1" x14ac:dyDescent="0.25"/>
    <row r="4367" hidden="1" x14ac:dyDescent="0.25"/>
    <row r="4368" hidden="1" x14ac:dyDescent="0.25"/>
    <row r="4369" hidden="1" x14ac:dyDescent="0.25"/>
    <row r="4370" hidden="1" x14ac:dyDescent="0.25"/>
    <row r="4371" hidden="1" x14ac:dyDescent="0.25"/>
    <row r="4372" hidden="1" x14ac:dyDescent="0.25"/>
    <row r="4373" hidden="1" x14ac:dyDescent="0.25"/>
    <row r="4374" hidden="1" x14ac:dyDescent="0.25"/>
    <row r="4375" hidden="1" x14ac:dyDescent="0.25"/>
    <row r="4376" hidden="1" x14ac:dyDescent="0.25"/>
    <row r="4377" hidden="1" x14ac:dyDescent="0.25"/>
    <row r="4378" hidden="1" x14ac:dyDescent="0.25"/>
    <row r="4379" hidden="1" x14ac:dyDescent="0.25"/>
    <row r="4380" hidden="1" x14ac:dyDescent="0.25"/>
    <row r="4381" hidden="1" x14ac:dyDescent="0.25"/>
    <row r="4382" hidden="1" x14ac:dyDescent="0.25"/>
    <row r="4383" hidden="1" x14ac:dyDescent="0.25"/>
    <row r="4384" hidden="1" x14ac:dyDescent="0.25"/>
    <row r="4385" hidden="1" x14ac:dyDescent="0.25"/>
    <row r="4386" hidden="1" x14ac:dyDescent="0.25"/>
    <row r="4387" hidden="1" x14ac:dyDescent="0.25"/>
    <row r="4388" hidden="1" x14ac:dyDescent="0.25"/>
    <row r="4389" hidden="1" x14ac:dyDescent="0.25"/>
    <row r="4390" hidden="1" x14ac:dyDescent="0.25"/>
    <row r="4391" hidden="1" x14ac:dyDescent="0.25"/>
    <row r="4392" hidden="1" x14ac:dyDescent="0.25"/>
    <row r="4393" hidden="1" x14ac:dyDescent="0.25"/>
    <row r="4394" hidden="1" x14ac:dyDescent="0.25"/>
    <row r="4395" hidden="1" x14ac:dyDescent="0.25"/>
    <row r="4396" hidden="1" x14ac:dyDescent="0.25"/>
    <row r="4397" hidden="1" x14ac:dyDescent="0.25"/>
    <row r="4398" hidden="1" x14ac:dyDescent="0.25"/>
    <row r="4399" hidden="1" x14ac:dyDescent="0.25"/>
    <row r="4400" hidden="1" x14ac:dyDescent="0.25"/>
    <row r="4401" hidden="1" x14ac:dyDescent="0.25"/>
    <row r="4402" hidden="1" x14ac:dyDescent="0.25"/>
    <row r="4403" hidden="1" x14ac:dyDescent="0.25"/>
    <row r="4404" hidden="1" x14ac:dyDescent="0.25"/>
    <row r="4405" hidden="1" x14ac:dyDescent="0.25"/>
    <row r="4406" hidden="1" x14ac:dyDescent="0.25"/>
    <row r="4407" hidden="1" x14ac:dyDescent="0.25"/>
    <row r="4408" hidden="1" x14ac:dyDescent="0.25"/>
    <row r="4409" hidden="1" x14ac:dyDescent="0.25"/>
    <row r="4410" hidden="1" x14ac:dyDescent="0.25"/>
    <row r="4411" hidden="1" x14ac:dyDescent="0.25"/>
    <row r="4412" hidden="1" x14ac:dyDescent="0.25"/>
    <row r="4413" hidden="1" x14ac:dyDescent="0.25"/>
    <row r="4414" hidden="1" x14ac:dyDescent="0.25"/>
    <row r="4415" hidden="1" x14ac:dyDescent="0.25"/>
    <row r="4416" hidden="1" x14ac:dyDescent="0.25"/>
    <row r="4417" hidden="1" x14ac:dyDescent="0.25"/>
    <row r="4418" hidden="1" x14ac:dyDescent="0.25"/>
    <row r="4419" hidden="1" x14ac:dyDescent="0.25"/>
    <row r="4420" hidden="1" x14ac:dyDescent="0.25"/>
    <row r="4421" hidden="1" x14ac:dyDescent="0.25"/>
    <row r="4422" hidden="1" x14ac:dyDescent="0.25"/>
    <row r="4423" hidden="1" x14ac:dyDescent="0.25"/>
    <row r="4424" hidden="1" x14ac:dyDescent="0.25"/>
    <row r="4425" hidden="1" x14ac:dyDescent="0.25"/>
    <row r="4426" hidden="1" x14ac:dyDescent="0.25"/>
    <row r="4427" hidden="1" x14ac:dyDescent="0.25"/>
    <row r="4428" hidden="1" x14ac:dyDescent="0.25"/>
    <row r="4429" hidden="1" x14ac:dyDescent="0.25"/>
    <row r="4430" hidden="1" x14ac:dyDescent="0.25"/>
    <row r="4431" hidden="1" x14ac:dyDescent="0.25"/>
    <row r="4432" hidden="1" x14ac:dyDescent="0.25"/>
    <row r="4433" hidden="1" x14ac:dyDescent="0.25"/>
    <row r="4434" hidden="1" x14ac:dyDescent="0.25"/>
    <row r="4435" hidden="1" x14ac:dyDescent="0.25"/>
    <row r="4436" hidden="1" x14ac:dyDescent="0.25"/>
    <row r="4437" hidden="1" x14ac:dyDescent="0.25"/>
    <row r="4438" hidden="1" x14ac:dyDescent="0.25"/>
    <row r="4439" hidden="1" x14ac:dyDescent="0.25"/>
    <row r="4440" hidden="1" x14ac:dyDescent="0.25"/>
    <row r="4441" hidden="1" x14ac:dyDescent="0.25"/>
    <row r="4442" hidden="1" x14ac:dyDescent="0.25"/>
    <row r="4443" hidden="1" x14ac:dyDescent="0.25"/>
    <row r="4444" hidden="1" x14ac:dyDescent="0.25"/>
    <row r="4445" hidden="1" x14ac:dyDescent="0.25"/>
    <row r="4446" hidden="1" x14ac:dyDescent="0.25"/>
    <row r="4447" hidden="1" x14ac:dyDescent="0.25"/>
    <row r="4448" hidden="1" x14ac:dyDescent="0.25"/>
    <row r="4449" hidden="1" x14ac:dyDescent="0.25"/>
    <row r="4450" hidden="1" x14ac:dyDescent="0.25"/>
    <row r="4451" hidden="1" x14ac:dyDescent="0.25"/>
    <row r="4452" hidden="1" x14ac:dyDescent="0.25"/>
    <row r="4453" hidden="1" x14ac:dyDescent="0.25"/>
    <row r="4454" hidden="1" x14ac:dyDescent="0.25"/>
    <row r="4455" hidden="1" x14ac:dyDescent="0.25"/>
    <row r="4456" hidden="1" x14ac:dyDescent="0.25"/>
    <row r="4457" hidden="1" x14ac:dyDescent="0.25"/>
    <row r="4458" hidden="1" x14ac:dyDescent="0.25"/>
    <row r="4459" hidden="1" x14ac:dyDescent="0.25"/>
    <row r="4460" hidden="1" x14ac:dyDescent="0.25"/>
    <row r="4461" hidden="1" x14ac:dyDescent="0.25"/>
    <row r="4462" hidden="1" x14ac:dyDescent="0.25"/>
    <row r="4463" hidden="1" x14ac:dyDescent="0.25"/>
    <row r="4464" hidden="1" x14ac:dyDescent="0.25"/>
    <row r="4465" hidden="1" x14ac:dyDescent="0.25"/>
    <row r="4466" hidden="1" x14ac:dyDescent="0.25"/>
    <row r="4467" hidden="1" x14ac:dyDescent="0.25"/>
    <row r="4468" hidden="1" x14ac:dyDescent="0.25"/>
    <row r="4469" hidden="1" x14ac:dyDescent="0.25"/>
    <row r="4470" hidden="1" x14ac:dyDescent="0.25"/>
    <row r="4471" hidden="1" x14ac:dyDescent="0.25"/>
    <row r="4472" hidden="1" x14ac:dyDescent="0.25"/>
    <row r="4473" hidden="1" x14ac:dyDescent="0.25"/>
    <row r="4474" hidden="1" x14ac:dyDescent="0.25"/>
    <row r="4475" hidden="1" x14ac:dyDescent="0.25"/>
    <row r="4476" hidden="1" x14ac:dyDescent="0.25"/>
    <row r="4477" hidden="1" x14ac:dyDescent="0.25"/>
    <row r="4478" hidden="1" x14ac:dyDescent="0.25"/>
    <row r="4479" hidden="1" x14ac:dyDescent="0.25"/>
    <row r="4480" hidden="1" x14ac:dyDescent="0.25"/>
    <row r="4481" hidden="1" x14ac:dyDescent="0.25"/>
    <row r="4482" hidden="1" x14ac:dyDescent="0.25"/>
    <row r="4483" hidden="1" x14ac:dyDescent="0.25"/>
    <row r="4484" hidden="1" x14ac:dyDescent="0.25"/>
    <row r="4485" hidden="1" x14ac:dyDescent="0.25"/>
    <row r="4486" hidden="1" x14ac:dyDescent="0.25"/>
    <row r="4487" hidden="1" x14ac:dyDescent="0.25"/>
    <row r="4488" hidden="1" x14ac:dyDescent="0.25"/>
    <row r="4489" hidden="1" x14ac:dyDescent="0.25"/>
    <row r="4490" hidden="1" x14ac:dyDescent="0.25"/>
    <row r="4491" hidden="1" x14ac:dyDescent="0.25"/>
    <row r="4492" hidden="1" x14ac:dyDescent="0.25"/>
    <row r="4493" hidden="1" x14ac:dyDescent="0.25"/>
    <row r="4494" hidden="1" x14ac:dyDescent="0.25"/>
    <row r="4495" hidden="1" x14ac:dyDescent="0.25"/>
    <row r="4496" hidden="1" x14ac:dyDescent="0.25"/>
    <row r="4497" hidden="1" x14ac:dyDescent="0.25"/>
    <row r="4498" hidden="1" x14ac:dyDescent="0.25"/>
    <row r="4499" hidden="1" x14ac:dyDescent="0.25"/>
    <row r="4500" hidden="1" x14ac:dyDescent="0.25"/>
    <row r="4501" hidden="1" x14ac:dyDescent="0.25"/>
    <row r="4502" hidden="1" x14ac:dyDescent="0.25"/>
    <row r="4503" hidden="1" x14ac:dyDescent="0.25"/>
    <row r="4504" hidden="1" x14ac:dyDescent="0.25"/>
    <row r="4505" hidden="1" x14ac:dyDescent="0.25"/>
    <row r="4506" hidden="1" x14ac:dyDescent="0.25"/>
    <row r="4507" hidden="1" x14ac:dyDescent="0.25"/>
    <row r="4508" hidden="1" x14ac:dyDescent="0.25"/>
    <row r="4509" hidden="1" x14ac:dyDescent="0.25"/>
    <row r="4510" hidden="1" x14ac:dyDescent="0.25"/>
    <row r="4511" hidden="1" x14ac:dyDescent="0.25"/>
    <row r="4512" hidden="1" x14ac:dyDescent="0.25"/>
    <row r="4513" hidden="1" x14ac:dyDescent="0.25"/>
    <row r="4514" hidden="1" x14ac:dyDescent="0.25"/>
    <row r="4515" hidden="1" x14ac:dyDescent="0.25"/>
    <row r="4516" hidden="1" x14ac:dyDescent="0.25"/>
    <row r="4517" hidden="1" x14ac:dyDescent="0.25"/>
    <row r="4518" hidden="1" x14ac:dyDescent="0.25"/>
    <row r="4519" hidden="1" x14ac:dyDescent="0.25"/>
    <row r="4520" hidden="1" x14ac:dyDescent="0.25"/>
    <row r="4521" hidden="1" x14ac:dyDescent="0.25"/>
    <row r="4522" hidden="1" x14ac:dyDescent="0.25"/>
    <row r="4523" hidden="1" x14ac:dyDescent="0.25"/>
    <row r="4524" hidden="1" x14ac:dyDescent="0.25"/>
    <row r="4525" hidden="1" x14ac:dyDescent="0.25"/>
    <row r="4526" hidden="1" x14ac:dyDescent="0.25"/>
    <row r="4527" hidden="1" x14ac:dyDescent="0.25"/>
    <row r="4528" hidden="1" x14ac:dyDescent="0.25"/>
    <row r="4529" hidden="1" x14ac:dyDescent="0.25"/>
    <row r="4530" hidden="1" x14ac:dyDescent="0.25"/>
    <row r="4531" hidden="1" x14ac:dyDescent="0.25"/>
    <row r="4532" hidden="1" x14ac:dyDescent="0.25"/>
    <row r="4533" hidden="1" x14ac:dyDescent="0.25"/>
    <row r="4534" hidden="1" x14ac:dyDescent="0.25"/>
    <row r="4535" hidden="1" x14ac:dyDescent="0.25"/>
    <row r="4536" hidden="1" x14ac:dyDescent="0.25"/>
    <row r="4537" hidden="1" x14ac:dyDescent="0.25"/>
    <row r="4538" hidden="1" x14ac:dyDescent="0.25"/>
    <row r="4539" hidden="1" x14ac:dyDescent="0.25"/>
    <row r="4540" hidden="1" x14ac:dyDescent="0.25"/>
    <row r="4541" hidden="1" x14ac:dyDescent="0.25"/>
    <row r="4542" hidden="1" x14ac:dyDescent="0.25"/>
    <row r="4543" hidden="1" x14ac:dyDescent="0.25"/>
    <row r="4544" hidden="1" x14ac:dyDescent="0.25"/>
    <row r="4545" hidden="1" x14ac:dyDescent="0.25"/>
    <row r="4546" hidden="1" x14ac:dyDescent="0.25"/>
    <row r="4547" hidden="1" x14ac:dyDescent="0.25"/>
    <row r="4548" hidden="1" x14ac:dyDescent="0.25"/>
    <row r="4549" hidden="1" x14ac:dyDescent="0.25"/>
    <row r="4550" hidden="1" x14ac:dyDescent="0.25"/>
    <row r="4551" hidden="1" x14ac:dyDescent="0.25"/>
    <row r="4552" hidden="1" x14ac:dyDescent="0.25"/>
    <row r="4553" hidden="1" x14ac:dyDescent="0.25"/>
    <row r="4554" hidden="1" x14ac:dyDescent="0.25"/>
    <row r="4555" hidden="1" x14ac:dyDescent="0.25"/>
    <row r="4556" hidden="1" x14ac:dyDescent="0.25"/>
    <row r="4557" hidden="1" x14ac:dyDescent="0.25"/>
    <row r="4558" hidden="1" x14ac:dyDescent="0.25"/>
    <row r="4559" hidden="1" x14ac:dyDescent="0.25"/>
    <row r="4560" hidden="1" x14ac:dyDescent="0.25"/>
    <row r="4561" hidden="1" x14ac:dyDescent="0.25"/>
    <row r="4562" hidden="1" x14ac:dyDescent="0.25"/>
    <row r="4563" hidden="1" x14ac:dyDescent="0.25"/>
    <row r="4564" hidden="1" x14ac:dyDescent="0.25"/>
    <row r="4565" hidden="1" x14ac:dyDescent="0.25"/>
    <row r="4566" hidden="1" x14ac:dyDescent="0.25"/>
    <row r="4567" hidden="1" x14ac:dyDescent="0.25"/>
    <row r="4568" hidden="1" x14ac:dyDescent="0.25"/>
    <row r="4569" hidden="1" x14ac:dyDescent="0.25"/>
    <row r="4570" hidden="1" x14ac:dyDescent="0.25"/>
    <row r="4571" hidden="1" x14ac:dyDescent="0.25"/>
    <row r="4572" hidden="1" x14ac:dyDescent="0.25"/>
    <row r="4573" hidden="1" x14ac:dyDescent="0.25"/>
    <row r="4574" hidden="1" x14ac:dyDescent="0.25"/>
    <row r="4575" hidden="1" x14ac:dyDescent="0.25"/>
    <row r="4576" hidden="1" x14ac:dyDescent="0.25"/>
    <row r="4577" hidden="1" x14ac:dyDescent="0.25"/>
    <row r="4578" hidden="1" x14ac:dyDescent="0.25"/>
    <row r="4579" hidden="1" x14ac:dyDescent="0.25"/>
    <row r="4580" hidden="1" x14ac:dyDescent="0.25"/>
    <row r="4581" hidden="1" x14ac:dyDescent="0.25"/>
    <row r="4582" hidden="1" x14ac:dyDescent="0.25"/>
    <row r="4583" hidden="1" x14ac:dyDescent="0.25"/>
    <row r="4584" hidden="1" x14ac:dyDescent="0.25"/>
    <row r="4585" hidden="1" x14ac:dyDescent="0.25"/>
    <row r="4586" hidden="1" x14ac:dyDescent="0.25"/>
    <row r="4587" hidden="1" x14ac:dyDescent="0.25"/>
    <row r="4588" hidden="1" x14ac:dyDescent="0.25"/>
    <row r="4589" hidden="1" x14ac:dyDescent="0.25"/>
    <row r="4590" hidden="1" x14ac:dyDescent="0.25"/>
    <row r="4591" hidden="1" x14ac:dyDescent="0.25"/>
    <row r="4592" hidden="1" x14ac:dyDescent="0.25"/>
    <row r="4593" hidden="1" x14ac:dyDescent="0.25"/>
    <row r="4594" hidden="1" x14ac:dyDescent="0.25"/>
    <row r="4595" hidden="1" x14ac:dyDescent="0.25"/>
    <row r="4596" hidden="1" x14ac:dyDescent="0.25"/>
    <row r="4597" hidden="1" x14ac:dyDescent="0.25"/>
    <row r="4598" hidden="1" x14ac:dyDescent="0.25"/>
    <row r="4599" hidden="1" x14ac:dyDescent="0.25"/>
    <row r="4600" hidden="1" x14ac:dyDescent="0.25"/>
    <row r="4601" hidden="1" x14ac:dyDescent="0.25"/>
    <row r="4602" hidden="1" x14ac:dyDescent="0.25"/>
    <row r="4603" hidden="1" x14ac:dyDescent="0.25"/>
    <row r="4604" hidden="1" x14ac:dyDescent="0.25"/>
    <row r="4605" hidden="1" x14ac:dyDescent="0.25"/>
    <row r="4606" hidden="1" x14ac:dyDescent="0.25"/>
    <row r="4607" hidden="1" x14ac:dyDescent="0.25"/>
    <row r="4608" hidden="1" x14ac:dyDescent="0.25"/>
    <row r="4609" hidden="1" x14ac:dyDescent="0.25"/>
    <row r="4610" hidden="1" x14ac:dyDescent="0.25"/>
    <row r="4611" hidden="1" x14ac:dyDescent="0.25"/>
    <row r="4612" hidden="1" x14ac:dyDescent="0.25"/>
    <row r="4613" hidden="1" x14ac:dyDescent="0.25"/>
    <row r="4614" hidden="1" x14ac:dyDescent="0.25"/>
    <row r="4615" hidden="1" x14ac:dyDescent="0.25"/>
    <row r="4616" hidden="1" x14ac:dyDescent="0.25"/>
    <row r="4617" hidden="1" x14ac:dyDescent="0.25"/>
    <row r="4618" hidden="1" x14ac:dyDescent="0.25"/>
    <row r="4619" hidden="1" x14ac:dyDescent="0.25"/>
    <row r="4620" hidden="1" x14ac:dyDescent="0.25"/>
    <row r="4621" hidden="1" x14ac:dyDescent="0.25"/>
    <row r="4622" hidden="1" x14ac:dyDescent="0.25"/>
    <row r="4623" hidden="1" x14ac:dyDescent="0.25"/>
    <row r="4624" hidden="1" x14ac:dyDescent="0.25"/>
    <row r="4625" hidden="1" x14ac:dyDescent="0.25"/>
    <row r="4626" hidden="1" x14ac:dyDescent="0.25"/>
    <row r="4627" hidden="1" x14ac:dyDescent="0.25"/>
    <row r="4628" hidden="1" x14ac:dyDescent="0.25"/>
    <row r="4629" hidden="1" x14ac:dyDescent="0.25"/>
    <row r="4630" hidden="1" x14ac:dyDescent="0.25"/>
    <row r="4631" hidden="1" x14ac:dyDescent="0.25"/>
    <row r="4632" hidden="1" x14ac:dyDescent="0.25"/>
    <row r="4633" hidden="1" x14ac:dyDescent="0.25"/>
    <row r="4634" hidden="1" x14ac:dyDescent="0.25"/>
    <row r="4635" hidden="1" x14ac:dyDescent="0.25"/>
    <row r="4636" hidden="1" x14ac:dyDescent="0.25"/>
    <row r="4637" hidden="1" x14ac:dyDescent="0.25"/>
    <row r="4638" hidden="1" x14ac:dyDescent="0.25"/>
    <row r="4639" hidden="1" x14ac:dyDescent="0.25"/>
    <row r="4640" hidden="1" x14ac:dyDescent="0.25"/>
    <row r="4641" hidden="1" x14ac:dyDescent="0.25"/>
    <row r="4642" hidden="1" x14ac:dyDescent="0.25"/>
    <row r="4643" hidden="1" x14ac:dyDescent="0.25"/>
    <row r="4644" hidden="1" x14ac:dyDescent="0.25"/>
    <row r="4645" hidden="1" x14ac:dyDescent="0.25"/>
    <row r="4646" hidden="1" x14ac:dyDescent="0.25"/>
    <row r="4647" hidden="1" x14ac:dyDescent="0.25"/>
    <row r="4648" hidden="1" x14ac:dyDescent="0.25"/>
    <row r="4649" hidden="1" x14ac:dyDescent="0.25"/>
    <row r="4650" hidden="1" x14ac:dyDescent="0.25"/>
    <row r="4651" hidden="1" x14ac:dyDescent="0.25"/>
    <row r="4652" hidden="1" x14ac:dyDescent="0.25"/>
    <row r="4653" hidden="1" x14ac:dyDescent="0.25"/>
    <row r="4654" hidden="1" x14ac:dyDescent="0.25"/>
    <row r="4655" hidden="1" x14ac:dyDescent="0.25"/>
    <row r="4656" hidden="1" x14ac:dyDescent="0.25"/>
    <row r="4657" hidden="1" x14ac:dyDescent="0.25"/>
    <row r="4658" hidden="1" x14ac:dyDescent="0.25"/>
    <row r="4659" hidden="1" x14ac:dyDescent="0.25"/>
    <row r="4660" hidden="1" x14ac:dyDescent="0.25"/>
    <row r="4661" hidden="1" x14ac:dyDescent="0.25"/>
    <row r="4662" hidden="1" x14ac:dyDescent="0.25"/>
    <row r="4663" hidden="1" x14ac:dyDescent="0.25"/>
    <row r="4664" hidden="1" x14ac:dyDescent="0.25"/>
    <row r="4665" hidden="1" x14ac:dyDescent="0.25"/>
    <row r="4666" hidden="1" x14ac:dyDescent="0.25"/>
    <row r="4667" hidden="1" x14ac:dyDescent="0.25"/>
    <row r="4668" hidden="1" x14ac:dyDescent="0.25"/>
    <row r="4669" hidden="1" x14ac:dyDescent="0.25"/>
    <row r="4670" hidden="1" x14ac:dyDescent="0.25"/>
    <row r="4671" hidden="1" x14ac:dyDescent="0.25"/>
    <row r="4672" hidden="1" x14ac:dyDescent="0.25"/>
    <row r="4673" hidden="1" x14ac:dyDescent="0.25"/>
    <row r="4674" hidden="1" x14ac:dyDescent="0.25"/>
    <row r="4675" hidden="1" x14ac:dyDescent="0.25"/>
    <row r="4676" hidden="1" x14ac:dyDescent="0.25"/>
    <row r="4677" hidden="1" x14ac:dyDescent="0.25"/>
    <row r="4678" hidden="1" x14ac:dyDescent="0.25"/>
    <row r="4679" hidden="1" x14ac:dyDescent="0.25"/>
    <row r="4680" hidden="1" x14ac:dyDescent="0.25"/>
    <row r="4681" hidden="1" x14ac:dyDescent="0.25"/>
    <row r="4682" hidden="1" x14ac:dyDescent="0.25"/>
    <row r="4683" hidden="1" x14ac:dyDescent="0.25"/>
    <row r="4684" hidden="1" x14ac:dyDescent="0.25"/>
    <row r="4685" hidden="1" x14ac:dyDescent="0.25"/>
    <row r="4686" hidden="1" x14ac:dyDescent="0.25"/>
    <row r="4687" hidden="1" x14ac:dyDescent="0.25"/>
    <row r="4688" hidden="1" x14ac:dyDescent="0.25"/>
    <row r="4689" hidden="1" x14ac:dyDescent="0.25"/>
    <row r="4690" hidden="1" x14ac:dyDescent="0.25"/>
    <row r="4691" hidden="1" x14ac:dyDescent="0.25"/>
    <row r="4692" hidden="1" x14ac:dyDescent="0.25"/>
    <row r="4693" hidden="1" x14ac:dyDescent="0.25"/>
    <row r="4694" hidden="1" x14ac:dyDescent="0.25"/>
    <row r="4695" hidden="1" x14ac:dyDescent="0.25"/>
    <row r="4696" hidden="1" x14ac:dyDescent="0.25"/>
    <row r="4697" hidden="1" x14ac:dyDescent="0.25"/>
    <row r="4698" hidden="1" x14ac:dyDescent="0.25"/>
    <row r="4699" hidden="1" x14ac:dyDescent="0.25"/>
    <row r="4700" hidden="1" x14ac:dyDescent="0.25"/>
    <row r="4701" hidden="1" x14ac:dyDescent="0.25"/>
    <row r="4702" hidden="1" x14ac:dyDescent="0.25"/>
    <row r="4703" hidden="1" x14ac:dyDescent="0.25"/>
    <row r="4704" hidden="1" x14ac:dyDescent="0.25"/>
    <row r="4705" hidden="1" x14ac:dyDescent="0.25"/>
    <row r="4706" hidden="1" x14ac:dyDescent="0.25"/>
    <row r="4707" hidden="1" x14ac:dyDescent="0.25"/>
    <row r="4708" hidden="1" x14ac:dyDescent="0.25"/>
    <row r="4709" hidden="1" x14ac:dyDescent="0.25"/>
    <row r="4710" hidden="1" x14ac:dyDescent="0.25"/>
    <row r="4711" hidden="1" x14ac:dyDescent="0.25"/>
    <row r="4712" hidden="1" x14ac:dyDescent="0.25"/>
    <row r="4713" hidden="1" x14ac:dyDescent="0.25"/>
    <row r="4714" hidden="1" x14ac:dyDescent="0.25"/>
    <row r="4715" hidden="1" x14ac:dyDescent="0.25"/>
    <row r="4716" hidden="1" x14ac:dyDescent="0.25"/>
    <row r="4717" hidden="1" x14ac:dyDescent="0.25"/>
    <row r="4718" hidden="1" x14ac:dyDescent="0.25"/>
    <row r="4719" hidden="1" x14ac:dyDescent="0.25"/>
    <row r="4720" hidden="1" x14ac:dyDescent="0.25"/>
    <row r="4721" hidden="1" x14ac:dyDescent="0.25"/>
    <row r="4722" hidden="1" x14ac:dyDescent="0.25"/>
    <row r="4723" hidden="1" x14ac:dyDescent="0.25"/>
    <row r="4724" hidden="1" x14ac:dyDescent="0.25"/>
    <row r="4725" hidden="1" x14ac:dyDescent="0.25"/>
    <row r="4726" hidden="1" x14ac:dyDescent="0.25"/>
    <row r="4727" hidden="1" x14ac:dyDescent="0.25"/>
    <row r="4728" hidden="1" x14ac:dyDescent="0.25"/>
    <row r="4729" hidden="1" x14ac:dyDescent="0.25"/>
    <row r="4730" hidden="1" x14ac:dyDescent="0.25"/>
    <row r="4731" hidden="1" x14ac:dyDescent="0.25"/>
    <row r="4732" hidden="1" x14ac:dyDescent="0.25"/>
    <row r="4733" hidden="1" x14ac:dyDescent="0.25"/>
  </sheetData>
  <mergeCells count="25">
    <mergeCell ref="H42:I42"/>
    <mergeCell ref="F42:G42"/>
    <mergeCell ref="C3:K3"/>
    <mergeCell ref="D42:E43"/>
    <mergeCell ref="B31:N31"/>
    <mergeCell ref="C33:E33"/>
    <mergeCell ref="J42:L42"/>
    <mergeCell ref="B39:N39"/>
    <mergeCell ref="B1:N1"/>
    <mergeCell ref="B5:N5"/>
    <mergeCell ref="D27:I27"/>
    <mergeCell ref="D18:I18"/>
    <mergeCell ref="D28:I28"/>
    <mergeCell ref="D9:I9"/>
    <mergeCell ref="D19:I19"/>
    <mergeCell ref="D51:E51"/>
    <mergeCell ref="D52:E52"/>
    <mergeCell ref="D53:E53"/>
    <mergeCell ref="D49:E49"/>
    <mergeCell ref="D44:E44"/>
    <mergeCell ref="D45:E45"/>
    <mergeCell ref="D46:E46"/>
    <mergeCell ref="D47:E47"/>
    <mergeCell ref="D50:E50"/>
    <mergeCell ref="D48:E48"/>
  </mergeCells>
  <dataValidations count="1">
    <dataValidation allowBlank="1" showErrorMessage="1" prompt="Inserir unidade" sqref="K16 K11:K14 K18 K8:K9 K21:K28"/>
  </dataValidations>
  <pageMargins left="0.511811024" right="0.511811024" top="0.78740157499999996" bottom="0.78740157499999996" header="0.31496062000000002" footer="0.31496062000000002"/>
  <pageSetup paperSize="9" orientation="portrait" r:id="rId1"/>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'Apoio_Provisão Biomassa Comb.'!$A$4:$A$18</xm:f>
          </x14:formula1>
          <xm:sqref>J8</xm:sqref>
        </x14:dataValidation>
        <x14:dataValidation type="list" allowBlank="1" showInputMessage="1" showErrorMessage="1">
          <x14:formula1>
            <xm:f>'Apoio_Provisão Biomassa Comb.'!$A$4:$A$58</xm:f>
          </x14:formula1>
          <xm:sqref>J18</xm:sqref>
        </x14:dataValidation>
      </x14:dataValidations>
    </ex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F6F6E"/>
  </sheetPr>
  <dimension ref="A1:FJ65"/>
  <sheetViews>
    <sheetView showGridLines="0" workbookViewId="0">
      <selection sqref="A1:N1"/>
    </sheetView>
  </sheetViews>
  <sheetFormatPr defaultColWidth="0" defaultRowHeight="15" zeroHeight="1" x14ac:dyDescent="0.25"/>
  <cols>
    <col min="1" max="1" width="39.85546875" style="937" bestFit="1" customWidth="1"/>
    <col min="2" max="2" width="14.85546875" style="937" customWidth="1"/>
    <col min="3" max="3" width="15.42578125" style="937" bestFit="1" customWidth="1"/>
    <col min="4" max="4" width="20.7109375" style="937" hidden="1" customWidth="1"/>
    <col min="5" max="5" width="18.85546875" style="198" customWidth="1"/>
    <col min="6" max="6" width="14.140625" style="198" hidden="1" customWidth="1"/>
    <col min="7" max="7" width="13.7109375" style="937" bestFit="1" customWidth="1"/>
    <col min="8" max="10" width="8.85546875" style="937" customWidth="1"/>
    <col min="11" max="14" width="8.85546875" style="937" hidden="1" customWidth="1"/>
    <col min="15" max="17" width="0" style="938" hidden="1" customWidth="1"/>
    <col min="18" max="166" width="0" style="15" hidden="1" customWidth="1"/>
    <col min="167" max="16384" width="8.85546875" style="12" hidden="1"/>
  </cols>
  <sheetData>
    <row r="1" spans="1:166" s="53" customFormat="1" ht="18.75" customHeight="1" thickBot="1" x14ac:dyDescent="0.3">
      <c r="A1" s="1619" t="s">
        <v>1544</v>
      </c>
      <c r="B1" s="1619"/>
      <c r="C1" s="1619"/>
      <c r="D1" s="1619"/>
      <c r="E1" s="1619"/>
      <c r="F1" s="1619"/>
      <c r="G1" s="1619"/>
      <c r="H1" s="1619"/>
      <c r="I1" s="1619"/>
      <c r="J1" s="1619"/>
      <c r="K1" s="1619"/>
      <c r="L1" s="1619"/>
      <c r="M1" s="1619"/>
      <c r="N1" s="1620"/>
      <c r="O1" s="932"/>
      <c r="P1" s="933"/>
      <c r="Q1" s="933"/>
      <c r="R1" s="484"/>
      <c r="S1" s="484"/>
      <c r="T1" s="484"/>
      <c r="U1" s="484"/>
      <c r="V1" s="484"/>
      <c r="W1" s="484"/>
      <c r="X1" s="484"/>
      <c r="Y1" s="484"/>
      <c r="Z1" s="484"/>
      <c r="AA1" s="484"/>
      <c r="AB1" s="484"/>
      <c r="AC1" s="484"/>
      <c r="AD1" s="484"/>
      <c r="AE1" s="484"/>
      <c r="AF1" s="484"/>
      <c r="AG1" s="484"/>
      <c r="AH1" s="484"/>
      <c r="AI1" s="484"/>
      <c r="AJ1" s="484"/>
      <c r="AK1" s="484"/>
      <c r="AL1" s="484"/>
      <c r="AM1" s="484"/>
      <c r="AN1" s="484"/>
      <c r="AO1" s="484"/>
      <c r="AP1" s="484"/>
      <c r="AQ1" s="484"/>
      <c r="AR1" s="484"/>
      <c r="AS1" s="484"/>
      <c r="AT1" s="484"/>
      <c r="AU1" s="484"/>
      <c r="AV1" s="484"/>
      <c r="AW1" s="484"/>
      <c r="AX1" s="484"/>
      <c r="AY1" s="484"/>
      <c r="AZ1" s="484"/>
      <c r="BA1" s="484"/>
      <c r="BB1" s="484"/>
      <c r="BC1" s="484"/>
      <c r="BD1" s="484"/>
      <c r="BE1" s="484"/>
      <c r="BF1" s="484"/>
      <c r="BG1" s="484"/>
      <c r="BH1" s="484"/>
      <c r="BI1" s="484"/>
      <c r="BJ1" s="484"/>
      <c r="BK1" s="484"/>
      <c r="BL1" s="484"/>
      <c r="BM1" s="484"/>
      <c r="BN1" s="484"/>
      <c r="BO1" s="484"/>
      <c r="BP1" s="484"/>
      <c r="BQ1" s="484"/>
      <c r="BR1" s="484"/>
      <c r="BS1" s="484"/>
      <c r="BT1" s="484"/>
      <c r="BU1" s="484"/>
      <c r="BV1" s="484"/>
      <c r="BW1" s="484"/>
      <c r="BX1" s="484"/>
      <c r="BY1" s="484"/>
      <c r="BZ1" s="484"/>
      <c r="CA1" s="484"/>
      <c r="CB1" s="484"/>
      <c r="CC1" s="484"/>
      <c r="CD1" s="484"/>
      <c r="CE1" s="484"/>
      <c r="CF1" s="484"/>
      <c r="CG1" s="484"/>
      <c r="CH1" s="484"/>
      <c r="CI1" s="484"/>
      <c r="CJ1" s="484"/>
      <c r="CK1" s="484"/>
      <c r="CL1" s="484"/>
      <c r="CM1" s="484"/>
      <c r="CN1" s="484"/>
      <c r="CO1" s="484"/>
      <c r="CP1" s="484"/>
      <c r="CQ1" s="484"/>
      <c r="CR1" s="484"/>
      <c r="CS1" s="484"/>
      <c r="CT1" s="484"/>
      <c r="CU1" s="484"/>
      <c r="CV1" s="484"/>
      <c r="CW1" s="484"/>
      <c r="CX1" s="484"/>
      <c r="CY1" s="484"/>
      <c r="CZ1" s="484"/>
      <c r="DA1" s="484"/>
      <c r="DB1" s="484"/>
      <c r="DC1" s="484"/>
      <c r="DD1" s="484"/>
      <c r="DE1" s="484"/>
      <c r="DF1" s="484"/>
      <c r="DG1" s="484"/>
      <c r="DH1" s="484"/>
      <c r="DI1" s="484"/>
      <c r="DJ1" s="484"/>
      <c r="DK1" s="484"/>
      <c r="DL1" s="484"/>
      <c r="DM1" s="484"/>
      <c r="DN1" s="484"/>
      <c r="DO1" s="484"/>
      <c r="DP1" s="484"/>
      <c r="DQ1" s="484"/>
      <c r="DR1" s="484"/>
      <c r="DS1" s="484"/>
      <c r="DT1" s="484"/>
      <c r="DU1" s="484"/>
      <c r="DV1" s="484"/>
      <c r="DW1" s="484"/>
      <c r="DX1" s="484"/>
      <c r="DY1" s="484"/>
      <c r="DZ1" s="484"/>
      <c r="EA1" s="484"/>
      <c r="EB1" s="484"/>
      <c r="EC1" s="484"/>
      <c r="ED1" s="484"/>
      <c r="EE1" s="484"/>
      <c r="EF1" s="484"/>
      <c r="EG1" s="484"/>
      <c r="EH1" s="484"/>
      <c r="EI1" s="484"/>
      <c r="EJ1" s="484"/>
      <c r="EK1" s="484"/>
      <c r="EL1" s="484"/>
      <c r="EM1" s="484"/>
      <c r="EN1" s="484"/>
      <c r="EO1" s="484"/>
      <c r="EP1" s="484"/>
      <c r="EQ1" s="484"/>
      <c r="ER1" s="484"/>
      <c r="ES1" s="484"/>
      <c r="ET1" s="484"/>
      <c r="EU1" s="484"/>
      <c r="EV1" s="484"/>
      <c r="EW1" s="484"/>
      <c r="EX1" s="484"/>
      <c r="EY1" s="484"/>
      <c r="EZ1" s="484"/>
      <c r="FA1" s="484"/>
      <c r="FB1" s="484"/>
      <c r="FC1" s="484"/>
      <c r="FD1" s="484"/>
      <c r="FE1" s="484"/>
      <c r="FF1" s="484"/>
      <c r="FG1" s="484"/>
      <c r="FH1" s="484"/>
      <c r="FI1" s="484"/>
      <c r="FJ1" s="484"/>
    </row>
    <row r="2" spans="1:166" s="484" customFormat="1" ht="18.75" customHeight="1" thickBot="1" x14ac:dyDescent="0.3">
      <c r="A2" s="933"/>
      <c r="B2" s="959"/>
      <c r="C2" s="934"/>
      <c r="D2" s="934"/>
      <c r="E2" s="935"/>
      <c r="F2" s="935"/>
      <c r="G2" s="934"/>
      <c r="H2" s="934"/>
      <c r="I2" s="934"/>
      <c r="J2" s="934"/>
      <c r="K2" s="934"/>
      <c r="L2" s="934"/>
      <c r="M2" s="934"/>
      <c r="N2" s="934"/>
      <c r="O2" s="936"/>
      <c r="P2" s="933"/>
      <c r="Q2" s="933"/>
    </row>
    <row r="3" spans="1:166" s="196" customFormat="1" ht="15.75" thickBot="1" x14ac:dyDescent="0.3">
      <c r="A3" s="965" t="s">
        <v>1309</v>
      </c>
      <c r="B3" s="966" t="s">
        <v>1256</v>
      </c>
      <c r="C3" s="966" t="s">
        <v>537</v>
      </c>
      <c r="D3" s="966" t="s">
        <v>1257</v>
      </c>
      <c r="E3" s="967" t="s">
        <v>1308</v>
      </c>
      <c r="F3" s="967" t="s">
        <v>1307</v>
      </c>
      <c r="G3" s="968" t="s">
        <v>1307</v>
      </c>
      <c r="H3" s="226"/>
      <c r="I3" s="226"/>
      <c r="J3" s="226"/>
      <c r="K3" s="226"/>
      <c r="L3" s="937"/>
      <c r="M3" s="937"/>
      <c r="N3" s="937"/>
      <c r="O3" s="938"/>
      <c r="P3" s="938"/>
      <c r="Q3" s="938"/>
      <c r="R3" s="21"/>
      <c r="S3" s="21"/>
      <c r="T3" s="21"/>
      <c r="U3" s="21"/>
      <c r="V3" s="21"/>
      <c r="W3" s="21"/>
      <c r="X3" s="21"/>
      <c r="Y3" s="21"/>
      <c r="Z3" s="21"/>
      <c r="AA3" s="21"/>
      <c r="AB3" s="21"/>
      <c r="AC3" s="21"/>
      <c r="AD3" s="21"/>
      <c r="AE3" s="21"/>
      <c r="AF3" s="21"/>
      <c r="AG3" s="21"/>
      <c r="AH3" s="21"/>
      <c r="AI3" s="21"/>
      <c r="AJ3" s="21"/>
      <c r="AK3" s="21"/>
      <c r="AL3" s="21"/>
      <c r="AM3" s="21"/>
      <c r="AN3" s="21"/>
      <c r="AO3" s="21"/>
      <c r="AP3" s="21"/>
      <c r="AQ3" s="21"/>
      <c r="AR3" s="21"/>
      <c r="AS3" s="21"/>
      <c r="AT3" s="21"/>
      <c r="AU3" s="21"/>
      <c r="AV3" s="21"/>
      <c r="AW3" s="21"/>
      <c r="AX3" s="21"/>
      <c r="AY3" s="21"/>
      <c r="AZ3" s="21"/>
      <c r="BA3" s="21"/>
      <c r="BB3" s="21"/>
      <c r="BC3" s="21"/>
      <c r="BD3" s="21"/>
      <c r="BE3" s="21"/>
      <c r="BF3" s="21"/>
      <c r="BG3" s="21"/>
      <c r="BH3" s="21"/>
      <c r="BI3" s="21"/>
      <c r="BJ3" s="21"/>
      <c r="BK3" s="21"/>
      <c r="BL3" s="21"/>
      <c r="BM3" s="21"/>
      <c r="BN3" s="21"/>
      <c r="BO3" s="21"/>
      <c r="BP3" s="21"/>
      <c r="BQ3" s="21"/>
      <c r="BR3" s="21"/>
      <c r="BS3" s="21"/>
      <c r="BT3" s="21"/>
      <c r="BU3" s="21"/>
      <c r="BV3" s="21"/>
      <c r="BW3" s="21"/>
      <c r="BX3" s="21"/>
      <c r="BY3" s="21"/>
      <c r="BZ3" s="21"/>
      <c r="CA3" s="21"/>
      <c r="CB3" s="21"/>
      <c r="CC3" s="21"/>
      <c r="CD3" s="21"/>
      <c r="CE3" s="21"/>
      <c r="CF3" s="21"/>
      <c r="CG3" s="21"/>
      <c r="CH3" s="21"/>
      <c r="CI3" s="21"/>
      <c r="CJ3" s="21"/>
      <c r="CK3" s="21"/>
      <c r="CL3" s="21"/>
      <c r="CM3" s="21"/>
      <c r="CN3" s="21"/>
      <c r="CO3" s="21"/>
      <c r="CP3" s="21"/>
      <c r="CQ3" s="21"/>
      <c r="CR3" s="21"/>
      <c r="CS3" s="21"/>
      <c r="CT3" s="21"/>
      <c r="CU3" s="21"/>
      <c r="CV3" s="21"/>
      <c r="CW3" s="21"/>
      <c r="CX3" s="21"/>
      <c r="CY3" s="21"/>
      <c r="CZ3" s="21"/>
      <c r="DA3" s="21"/>
      <c r="DB3" s="21"/>
      <c r="DC3" s="21"/>
      <c r="DD3" s="21"/>
      <c r="DE3" s="21"/>
      <c r="DF3" s="21"/>
      <c r="DG3" s="21"/>
      <c r="DH3" s="21"/>
      <c r="DI3" s="21"/>
      <c r="DJ3" s="21"/>
      <c r="DK3" s="21"/>
      <c r="DL3" s="21"/>
      <c r="DM3" s="21"/>
      <c r="DN3" s="21"/>
      <c r="DO3" s="21"/>
      <c r="DP3" s="21"/>
      <c r="DQ3" s="21"/>
      <c r="DR3" s="21"/>
      <c r="DS3" s="21"/>
      <c r="DT3" s="21"/>
      <c r="DU3" s="21"/>
      <c r="DV3" s="21"/>
      <c r="DW3" s="21"/>
      <c r="DX3" s="21"/>
      <c r="DY3" s="21"/>
      <c r="DZ3" s="21"/>
      <c r="EA3" s="21"/>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row>
    <row r="4" spans="1:166" x14ac:dyDescent="0.25">
      <c r="A4" s="969" t="s">
        <v>12</v>
      </c>
      <c r="B4" s="944"/>
      <c r="C4" s="944" t="s">
        <v>1465</v>
      </c>
      <c r="D4" s="944" t="s">
        <v>559</v>
      </c>
      <c r="E4" s="970" t="s">
        <v>1405</v>
      </c>
      <c r="F4" s="971" t="s">
        <v>1339</v>
      </c>
      <c r="G4" s="972" t="s">
        <v>1402</v>
      </c>
      <c r="H4" s="226"/>
      <c r="I4" s="226"/>
      <c r="J4" s="226"/>
      <c r="K4" s="226"/>
    </row>
    <row r="5" spans="1:166" x14ac:dyDescent="0.25">
      <c r="A5" s="946" t="s">
        <v>540</v>
      </c>
      <c r="B5" s="939" t="s">
        <v>541</v>
      </c>
      <c r="C5" s="941">
        <v>28.260899999999999</v>
      </c>
      <c r="D5" s="939" t="s">
        <v>542</v>
      </c>
      <c r="E5" s="942">
        <v>5.6735395882200005E-3</v>
      </c>
      <c r="F5" s="940">
        <v>0.79100000000000004</v>
      </c>
      <c r="G5" s="961">
        <f>F5/1000</f>
        <v>7.9100000000000004E-4</v>
      </c>
      <c r="H5" s="1621"/>
      <c r="I5" s="1621"/>
      <c r="J5" s="1621"/>
      <c r="K5" s="1621"/>
    </row>
    <row r="6" spans="1:166" x14ac:dyDescent="0.25">
      <c r="A6" s="946" t="s">
        <v>538</v>
      </c>
      <c r="B6" s="939" t="s">
        <v>541</v>
      </c>
      <c r="C6" s="941">
        <v>26.376840000000001</v>
      </c>
      <c r="D6" s="939" t="s">
        <v>542</v>
      </c>
      <c r="E6" s="942">
        <v>5.4158035715280006E-3</v>
      </c>
      <c r="F6" s="940">
        <v>0.80900000000000005</v>
      </c>
      <c r="G6" s="961">
        <f t="shared" ref="G6:G17" si="0">F6/1000</f>
        <v>8.0900000000000004E-4</v>
      </c>
      <c r="H6" s="1621"/>
      <c r="I6" s="1621"/>
      <c r="J6" s="1621"/>
      <c r="K6" s="1621"/>
    </row>
    <row r="7" spans="1:166" x14ac:dyDescent="0.25">
      <c r="A7" s="946" t="s">
        <v>543</v>
      </c>
      <c r="B7" s="939" t="s">
        <v>544</v>
      </c>
      <c r="C7" s="941">
        <v>8.9178840000000008</v>
      </c>
      <c r="D7" s="939" t="s">
        <v>545</v>
      </c>
      <c r="E7" s="942">
        <v>17.318530727999999</v>
      </c>
      <c r="F7" s="960">
        <v>1000</v>
      </c>
      <c r="G7" s="961">
        <f t="shared" si="0"/>
        <v>1</v>
      </c>
      <c r="H7" s="1621"/>
      <c r="I7" s="1621"/>
      <c r="J7" s="1621"/>
      <c r="K7" s="1621"/>
    </row>
    <row r="8" spans="1:166" x14ac:dyDescent="0.25">
      <c r="A8" s="946" t="s">
        <v>547</v>
      </c>
      <c r="B8" s="939" t="s">
        <v>541</v>
      </c>
      <c r="C8" s="941">
        <v>37.681199999999997</v>
      </c>
      <c r="D8" s="939" t="s">
        <v>542</v>
      </c>
      <c r="E8" s="942">
        <v>8.4158699327999999E-3</v>
      </c>
      <c r="F8" s="960">
        <v>0.88</v>
      </c>
      <c r="G8" s="961">
        <f t="shared" si="0"/>
        <v>8.8000000000000003E-4</v>
      </c>
      <c r="H8" s="1621"/>
      <c r="I8" s="1621"/>
      <c r="J8" s="1621"/>
      <c r="K8" s="1621"/>
    </row>
    <row r="9" spans="1:166" x14ac:dyDescent="0.25">
      <c r="A9" s="962" t="s">
        <v>1404</v>
      </c>
      <c r="B9" s="939" t="s">
        <v>544</v>
      </c>
      <c r="C9" s="941">
        <v>50.4</v>
      </c>
      <c r="D9" s="941" t="s">
        <v>545</v>
      </c>
      <c r="E9" s="941">
        <v>2.7619199999999999</v>
      </c>
      <c r="F9" s="941">
        <v>1000</v>
      </c>
      <c r="G9" s="961">
        <f t="shared" si="0"/>
        <v>1</v>
      </c>
      <c r="H9" s="1621"/>
      <c r="I9" s="1621"/>
      <c r="J9" s="1621"/>
      <c r="K9" s="1621"/>
    </row>
    <row r="10" spans="1:166" x14ac:dyDescent="0.25">
      <c r="A10" s="946" t="s">
        <v>548</v>
      </c>
      <c r="B10" s="939" t="s">
        <v>544</v>
      </c>
      <c r="C10" s="941">
        <v>2.5958159999999997</v>
      </c>
      <c r="D10" s="941" t="s">
        <v>545</v>
      </c>
      <c r="E10" s="941">
        <v>0.65881810079999992</v>
      </c>
      <c r="F10" s="941">
        <v>1000</v>
      </c>
      <c r="G10" s="961">
        <f t="shared" si="0"/>
        <v>1</v>
      </c>
      <c r="H10" s="1621"/>
      <c r="I10" s="1621"/>
      <c r="J10" s="1621"/>
      <c r="K10" s="1621"/>
    </row>
    <row r="11" spans="1:166" x14ac:dyDescent="0.25">
      <c r="A11" s="946" t="s">
        <v>549</v>
      </c>
      <c r="B11" s="939" t="s">
        <v>544</v>
      </c>
      <c r="C11" s="941">
        <v>28.260899999999999</v>
      </c>
      <c r="D11" s="941" t="s">
        <v>545</v>
      </c>
      <c r="E11" s="941">
        <v>174.9914928</v>
      </c>
      <c r="F11" s="941">
        <v>1000</v>
      </c>
      <c r="G11" s="961">
        <f t="shared" si="0"/>
        <v>1</v>
      </c>
      <c r="H11" s="1621"/>
      <c r="I11" s="1621"/>
      <c r="J11" s="1621"/>
      <c r="K11" s="1621"/>
    </row>
    <row r="12" spans="1:166" x14ac:dyDescent="0.25">
      <c r="A12" s="946" t="s">
        <v>550</v>
      </c>
      <c r="B12" s="939" t="s">
        <v>544</v>
      </c>
      <c r="C12" s="941">
        <v>18.086976</v>
      </c>
      <c r="D12" s="941" t="s">
        <v>545</v>
      </c>
      <c r="E12" s="941">
        <v>35.124907391999997</v>
      </c>
      <c r="F12" s="941">
        <v>1000</v>
      </c>
      <c r="G12" s="961">
        <f t="shared" si="0"/>
        <v>1</v>
      </c>
      <c r="H12" s="1621"/>
      <c r="I12" s="1621"/>
      <c r="J12" s="1621"/>
      <c r="K12" s="1621"/>
    </row>
    <row r="13" spans="1:166" x14ac:dyDescent="0.25">
      <c r="A13" s="946" t="s">
        <v>551</v>
      </c>
      <c r="B13" s="939" t="s">
        <v>544</v>
      </c>
      <c r="C13" s="941">
        <v>18.086976</v>
      </c>
      <c r="D13" s="941" t="s">
        <v>545</v>
      </c>
      <c r="E13" s="941">
        <v>35.124907391999997</v>
      </c>
      <c r="F13" s="941">
        <v>1000</v>
      </c>
      <c r="G13" s="961">
        <f t="shared" si="0"/>
        <v>1</v>
      </c>
      <c r="H13" s="1621"/>
      <c r="I13" s="1621"/>
      <c r="J13" s="1621"/>
      <c r="K13" s="1621"/>
    </row>
    <row r="14" spans="1:166" x14ac:dyDescent="0.25">
      <c r="A14" s="946" t="s">
        <v>552</v>
      </c>
      <c r="B14" s="939" t="s">
        <v>544</v>
      </c>
      <c r="C14" s="941">
        <v>11.974247999999999</v>
      </c>
      <c r="D14" s="939" t="s">
        <v>545</v>
      </c>
      <c r="E14" s="942">
        <v>8.0347204080000001</v>
      </c>
      <c r="F14" s="941">
        <v>1000</v>
      </c>
      <c r="G14" s="961">
        <f t="shared" si="0"/>
        <v>1</v>
      </c>
      <c r="H14" s="1621"/>
      <c r="I14" s="1621"/>
      <c r="J14" s="1621"/>
      <c r="K14" s="1621"/>
    </row>
    <row r="15" spans="1:166" x14ac:dyDescent="0.25">
      <c r="A15" s="946" t="s">
        <v>553</v>
      </c>
      <c r="B15" s="939" t="s">
        <v>544</v>
      </c>
      <c r="C15" s="941">
        <v>7.7455800000000004</v>
      </c>
      <c r="D15" s="939" t="s">
        <v>545</v>
      </c>
      <c r="E15" s="942">
        <v>1.9658282040000001</v>
      </c>
      <c r="F15" s="941">
        <v>1000</v>
      </c>
      <c r="G15" s="961">
        <f t="shared" si="0"/>
        <v>1</v>
      </c>
      <c r="H15" s="1621"/>
      <c r="I15" s="1621"/>
      <c r="J15" s="1621"/>
      <c r="K15" s="1621"/>
    </row>
    <row r="16" spans="1:166" x14ac:dyDescent="0.25">
      <c r="A16" s="946" t="s">
        <v>554</v>
      </c>
      <c r="B16" s="939" t="s">
        <v>544</v>
      </c>
      <c r="C16" s="941">
        <v>11.6</v>
      </c>
      <c r="D16" s="939" t="s">
        <v>545</v>
      </c>
      <c r="E16" s="942">
        <v>22.527200000000001</v>
      </c>
      <c r="F16" s="941">
        <v>1000</v>
      </c>
      <c r="G16" s="961">
        <f t="shared" si="0"/>
        <v>1</v>
      </c>
      <c r="H16" s="1621"/>
      <c r="I16" s="1621"/>
      <c r="J16" s="1621"/>
      <c r="K16" s="1621"/>
    </row>
    <row r="17" spans="1:11" x14ac:dyDescent="0.25">
      <c r="A17" s="946" t="s">
        <v>555</v>
      </c>
      <c r="B17" s="939" t="s">
        <v>544</v>
      </c>
      <c r="C17" s="941">
        <v>11.6</v>
      </c>
      <c r="D17" s="939" t="s">
        <v>545</v>
      </c>
      <c r="E17" s="942">
        <v>22.527200000000001</v>
      </c>
      <c r="F17" s="941">
        <v>1000</v>
      </c>
      <c r="G17" s="961">
        <f t="shared" si="0"/>
        <v>1</v>
      </c>
      <c r="H17" s="1621"/>
      <c r="I17" s="1621"/>
      <c r="J17" s="1621"/>
      <c r="K17" s="1621"/>
    </row>
    <row r="18" spans="1:11" ht="15.75" thickBot="1" x14ac:dyDescent="0.3">
      <c r="A18" s="950" t="s">
        <v>1216</v>
      </c>
      <c r="B18" s="943"/>
      <c r="C18" s="963"/>
      <c r="D18" s="943"/>
      <c r="E18" s="964"/>
      <c r="F18" s="943" t="str">
        <f>IF(B18="Toneladas",1,"")</f>
        <v/>
      </c>
      <c r="G18" s="1078">
        <v>1E+93</v>
      </c>
      <c r="H18" s="226"/>
      <c r="I18" s="226"/>
      <c r="J18" s="226"/>
      <c r="K18" s="226"/>
    </row>
    <row r="19" spans="1:11" ht="17.25" x14ac:dyDescent="0.25">
      <c r="A19" s="969" t="s">
        <v>546</v>
      </c>
      <c r="B19" s="944" t="s">
        <v>519</v>
      </c>
      <c r="C19" s="945">
        <v>35.797139999999999</v>
      </c>
      <c r="D19" s="944" t="s">
        <v>1255</v>
      </c>
      <c r="E19" s="973">
        <v>3411.3600505799996</v>
      </c>
      <c r="F19" s="974">
        <v>1000</v>
      </c>
      <c r="G19" s="975">
        <f t="shared" ref="G19:G58" si="1">F19/1000</f>
        <v>1</v>
      </c>
      <c r="H19" s="226"/>
      <c r="I19" s="226"/>
      <c r="J19" s="226"/>
      <c r="K19" s="226"/>
    </row>
    <row r="20" spans="1:11" ht="17.25" x14ac:dyDescent="0.25">
      <c r="A20" s="946" t="s">
        <v>557</v>
      </c>
      <c r="B20" s="939" t="s">
        <v>519</v>
      </c>
      <c r="C20" s="947">
        <v>40.988771999999997</v>
      </c>
      <c r="D20" s="939" t="s">
        <v>1255</v>
      </c>
      <c r="E20" s="948">
        <v>3401.1517720019397</v>
      </c>
      <c r="F20" s="941">
        <v>1025</v>
      </c>
      <c r="G20" s="961">
        <f t="shared" si="1"/>
        <v>1.0249999999999999</v>
      </c>
      <c r="H20" s="226"/>
      <c r="I20" s="226"/>
      <c r="J20" s="226"/>
      <c r="K20" s="226"/>
    </row>
    <row r="21" spans="1:11" x14ac:dyDescent="0.25">
      <c r="A21" s="946" t="s">
        <v>558</v>
      </c>
      <c r="B21" s="939" t="s">
        <v>544</v>
      </c>
      <c r="C21" s="947">
        <v>30.982320000000001</v>
      </c>
      <c r="D21" s="939" t="s">
        <v>545</v>
      </c>
      <c r="E21" s="948">
        <v>2952.5221490399995</v>
      </c>
      <c r="F21" s="941">
        <v>1000</v>
      </c>
      <c r="G21" s="961">
        <f t="shared" si="1"/>
        <v>1</v>
      </c>
    </row>
    <row r="22" spans="1:11" x14ac:dyDescent="0.25">
      <c r="A22" s="946" t="s">
        <v>560</v>
      </c>
      <c r="B22" s="939" t="s">
        <v>544</v>
      </c>
      <c r="C22" s="947">
        <v>26.879255999999998</v>
      </c>
      <c r="D22" s="939" t="s">
        <v>545</v>
      </c>
      <c r="E22" s="948">
        <v>2561.5124590319997</v>
      </c>
      <c r="F22" s="941">
        <v>1000</v>
      </c>
      <c r="G22" s="961">
        <f t="shared" si="1"/>
        <v>1</v>
      </c>
    </row>
    <row r="23" spans="1:11" x14ac:dyDescent="0.25">
      <c r="A23" s="946" t="s">
        <v>561</v>
      </c>
      <c r="B23" s="939" t="s">
        <v>544</v>
      </c>
      <c r="C23" s="947">
        <v>12.35106</v>
      </c>
      <c r="D23" s="939" t="s">
        <v>545</v>
      </c>
      <c r="E23" s="948">
        <v>1177.0189648200001</v>
      </c>
      <c r="F23" s="941">
        <v>1000</v>
      </c>
      <c r="G23" s="961">
        <f t="shared" si="1"/>
        <v>1</v>
      </c>
    </row>
    <row r="24" spans="1:11" x14ac:dyDescent="0.25">
      <c r="A24" s="946" t="s">
        <v>562</v>
      </c>
      <c r="B24" s="939" t="s">
        <v>544</v>
      </c>
      <c r="C24" s="947">
        <v>12.97908</v>
      </c>
      <c r="D24" s="939" t="s">
        <v>545</v>
      </c>
      <c r="E24" s="948">
        <v>1236.8673867599998</v>
      </c>
      <c r="F24" s="941">
        <v>1000</v>
      </c>
      <c r="G24" s="961">
        <f t="shared" si="1"/>
        <v>1</v>
      </c>
    </row>
    <row r="25" spans="1:11" x14ac:dyDescent="0.25">
      <c r="A25" s="946" t="s">
        <v>563</v>
      </c>
      <c r="B25" s="939" t="s">
        <v>544</v>
      </c>
      <c r="C25" s="947">
        <v>14.653799999999999</v>
      </c>
      <c r="D25" s="939" t="s">
        <v>545</v>
      </c>
      <c r="E25" s="948">
        <v>1396.4631786</v>
      </c>
      <c r="F25" s="941">
        <v>1000</v>
      </c>
      <c r="G25" s="961">
        <f t="shared" si="1"/>
        <v>1</v>
      </c>
    </row>
    <row r="26" spans="1:11" x14ac:dyDescent="0.25">
      <c r="A26" s="946" t="s">
        <v>564</v>
      </c>
      <c r="B26" s="939" t="s">
        <v>544</v>
      </c>
      <c r="C26" s="947">
        <v>16.747199999999999</v>
      </c>
      <c r="D26" s="939" t="s">
        <v>545</v>
      </c>
      <c r="E26" s="948">
        <v>1595.9579183999997</v>
      </c>
      <c r="F26" s="941">
        <v>1000</v>
      </c>
      <c r="G26" s="961">
        <f t="shared" si="1"/>
        <v>1</v>
      </c>
    </row>
    <row r="27" spans="1:11" x14ac:dyDescent="0.25">
      <c r="A27" s="946" t="s">
        <v>565</v>
      </c>
      <c r="B27" s="939" t="s">
        <v>544</v>
      </c>
      <c r="C27" s="947">
        <v>17.793899999999997</v>
      </c>
      <c r="D27" s="939" t="s">
        <v>545</v>
      </c>
      <c r="E27" s="948">
        <v>1695.7052882999997</v>
      </c>
      <c r="F27" s="941">
        <v>1000</v>
      </c>
      <c r="G27" s="961">
        <f t="shared" si="1"/>
        <v>1</v>
      </c>
    </row>
    <row r="28" spans="1:11" x14ac:dyDescent="0.25">
      <c r="A28" s="946" t="s">
        <v>566</v>
      </c>
      <c r="B28" s="939" t="s">
        <v>544</v>
      </c>
      <c r="C28" s="947">
        <v>18.631259999999997</v>
      </c>
      <c r="D28" s="939" t="s">
        <v>545</v>
      </c>
      <c r="E28" s="948">
        <v>1775.5031842199999</v>
      </c>
      <c r="F28" s="941">
        <v>1000</v>
      </c>
      <c r="G28" s="961">
        <f t="shared" si="1"/>
        <v>1</v>
      </c>
    </row>
    <row r="29" spans="1:11" x14ac:dyDescent="0.25">
      <c r="A29" s="946" t="s">
        <v>567</v>
      </c>
      <c r="B29" s="939" t="s">
        <v>544</v>
      </c>
      <c r="C29" s="947">
        <v>20.515319999999999</v>
      </c>
      <c r="D29" s="939" t="s">
        <v>545</v>
      </c>
      <c r="E29" s="948">
        <v>1955.04845004</v>
      </c>
      <c r="F29" s="941">
        <v>1000</v>
      </c>
      <c r="G29" s="961">
        <f t="shared" si="1"/>
        <v>1</v>
      </c>
    </row>
    <row r="30" spans="1:11" x14ac:dyDescent="0.25">
      <c r="A30" s="946" t="s">
        <v>568</v>
      </c>
      <c r="B30" s="939" t="s">
        <v>544</v>
      </c>
      <c r="C30" s="947">
        <v>23.446079999999998</v>
      </c>
      <c r="D30" s="939" t="s">
        <v>545</v>
      </c>
      <c r="E30" s="948">
        <v>2234.3410857599997</v>
      </c>
      <c r="F30" s="941">
        <v>1000</v>
      </c>
      <c r="G30" s="961">
        <f t="shared" si="1"/>
        <v>1</v>
      </c>
    </row>
    <row r="31" spans="1:11" x14ac:dyDescent="0.25">
      <c r="A31" s="946" t="s">
        <v>569</v>
      </c>
      <c r="B31" s="939" t="s">
        <v>544</v>
      </c>
      <c r="C31" s="947">
        <v>23.864759999999997</v>
      </c>
      <c r="D31" s="939" t="s">
        <v>545</v>
      </c>
      <c r="E31" s="948">
        <v>2274.2400337199997</v>
      </c>
      <c r="F31" s="941">
        <v>1000</v>
      </c>
      <c r="G31" s="961">
        <f t="shared" si="1"/>
        <v>1</v>
      </c>
    </row>
    <row r="32" spans="1:11" x14ac:dyDescent="0.25">
      <c r="A32" s="946" t="s">
        <v>570</v>
      </c>
      <c r="B32" s="939" t="s">
        <v>544</v>
      </c>
      <c r="C32" s="947">
        <v>11.932379999999998</v>
      </c>
      <c r="D32" s="939" t="s">
        <v>545</v>
      </c>
      <c r="E32" s="948">
        <v>1137.1200168599999</v>
      </c>
      <c r="F32" s="941">
        <v>1000</v>
      </c>
      <c r="G32" s="961">
        <f t="shared" si="1"/>
        <v>1</v>
      </c>
    </row>
    <row r="33" spans="1:12" x14ac:dyDescent="0.25">
      <c r="A33" s="946" t="s">
        <v>571</v>
      </c>
      <c r="B33" s="939" t="s">
        <v>544</v>
      </c>
      <c r="C33" s="947">
        <v>28.888919999999999</v>
      </c>
      <c r="D33" s="939" t="s">
        <v>545</v>
      </c>
      <c r="E33" s="948">
        <v>3111.2500172399996</v>
      </c>
      <c r="F33" s="941">
        <v>1000</v>
      </c>
      <c r="G33" s="961">
        <f t="shared" si="1"/>
        <v>1</v>
      </c>
    </row>
    <row r="34" spans="1:12" ht="17.25" x14ac:dyDescent="0.25">
      <c r="A34" s="946" t="s">
        <v>572</v>
      </c>
      <c r="B34" s="939" t="s">
        <v>519</v>
      </c>
      <c r="C34" s="947">
        <v>35.127251999999999</v>
      </c>
      <c r="D34" s="939" t="s">
        <v>1255</v>
      </c>
      <c r="E34" s="948">
        <v>3571.1752612199039</v>
      </c>
      <c r="F34" s="941">
        <v>1040</v>
      </c>
      <c r="G34" s="961">
        <f t="shared" si="1"/>
        <v>1.04</v>
      </c>
    </row>
    <row r="35" spans="1:12" x14ac:dyDescent="0.25">
      <c r="A35" s="946" t="s">
        <v>1545</v>
      </c>
      <c r="B35" s="939" t="s">
        <v>544</v>
      </c>
      <c r="C35" s="947">
        <v>46.4</v>
      </c>
      <c r="D35" s="939" t="s">
        <v>545</v>
      </c>
      <c r="E35" s="948">
        <v>2860.7827199999997</v>
      </c>
      <c r="F35" s="941">
        <v>1000</v>
      </c>
      <c r="G35" s="961">
        <f t="shared" si="1"/>
        <v>1</v>
      </c>
    </row>
    <row r="36" spans="1:12" x14ac:dyDescent="0.25">
      <c r="A36" s="946" t="s">
        <v>573</v>
      </c>
      <c r="B36" s="939" t="s">
        <v>544</v>
      </c>
      <c r="C36" s="947">
        <v>38.700000000000003</v>
      </c>
      <c r="D36" s="939" t="s">
        <v>545</v>
      </c>
      <c r="E36" s="948">
        <v>1720.4007600000002</v>
      </c>
      <c r="F36" s="941">
        <v>1000</v>
      </c>
      <c r="G36" s="961">
        <f t="shared" si="1"/>
        <v>1</v>
      </c>
    </row>
    <row r="37" spans="1:12" x14ac:dyDescent="0.25">
      <c r="A37" s="946" t="s">
        <v>574</v>
      </c>
      <c r="B37" s="939" t="s">
        <v>544</v>
      </c>
      <c r="C37" s="947">
        <v>49.5</v>
      </c>
      <c r="D37" s="939" t="s">
        <v>545</v>
      </c>
      <c r="E37" s="948">
        <v>2853.9126000000001</v>
      </c>
      <c r="F37" s="941">
        <v>1000</v>
      </c>
      <c r="G37" s="961">
        <f t="shared" si="1"/>
        <v>1</v>
      </c>
    </row>
    <row r="38" spans="1:12" x14ac:dyDescent="0.25">
      <c r="A38" s="946" t="s">
        <v>575</v>
      </c>
      <c r="B38" s="939" t="s">
        <v>544</v>
      </c>
      <c r="C38" s="947">
        <v>46.473479999999995</v>
      </c>
      <c r="D38" s="939" t="s">
        <v>545</v>
      </c>
      <c r="E38" s="948">
        <v>2935.0233347039998</v>
      </c>
      <c r="F38" s="941">
        <v>1000</v>
      </c>
      <c r="G38" s="961">
        <f t="shared" si="1"/>
        <v>1</v>
      </c>
    </row>
    <row r="39" spans="1:12" ht="17.25" x14ac:dyDescent="0.25">
      <c r="A39" s="946" t="s">
        <v>576</v>
      </c>
      <c r="B39" s="939" t="s">
        <v>519</v>
      </c>
      <c r="C39" s="947">
        <v>49.788972972972971</v>
      </c>
      <c r="D39" s="939" t="s">
        <v>1255</v>
      </c>
      <c r="E39" s="948">
        <v>2.068958466432</v>
      </c>
      <c r="F39" s="941">
        <v>0.74</v>
      </c>
      <c r="G39" s="961">
        <f t="shared" si="1"/>
        <v>7.3999999999999999E-4</v>
      </c>
    </row>
    <row r="40" spans="1:12" ht="17.25" x14ac:dyDescent="0.25">
      <c r="A40" s="946" t="s">
        <v>577</v>
      </c>
      <c r="B40" s="939" t="s">
        <v>519</v>
      </c>
      <c r="C40" s="947">
        <v>56.182329729729723</v>
      </c>
      <c r="D40" s="939" t="s">
        <v>1255</v>
      </c>
      <c r="E40" s="948">
        <v>2.3346315422351998</v>
      </c>
      <c r="F40" s="941">
        <v>0.74</v>
      </c>
      <c r="G40" s="961">
        <f t="shared" si="1"/>
        <v>7.3999999999999999E-4</v>
      </c>
    </row>
    <row r="41" spans="1:12" x14ac:dyDescent="0.25">
      <c r="A41" s="946" t="s">
        <v>578</v>
      </c>
      <c r="B41" s="939" t="s">
        <v>541</v>
      </c>
      <c r="C41" s="947">
        <v>43.542720000000003</v>
      </c>
      <c r="D41" s="939" t="s">
        <v>542</v>
      </c>
      <c r="E41" s="948">
        <v>2.2471927356453114</v>
      </c>
      <c r="F41" s="941">
        <v>0.74199999999999999</v>
      </c>
      <c r="G41" s="961">
        <f t="shared" si="1"/>
        <v>7.4200000000000004E-4</v>
      </c>
    </row>
    <row r="42" spans="1:12" x14ac:dyDescent="0.25">
      <c r="A42" s="946" t="s">
        <v>579</v>
      </c>
      <c r="B42" s="939" t="s">
        <v>541</v>
      </c>
      <c r="C42" s="947">
        <v>44.38008</v>
      </c>
      <c r="D42" s="939" t="s">
        <v>542</v>
      </c>
      <c r="E42" s="948">
        <v>2.3119029930047033</v>
      </c>
      <c r="F42" s="941">
        <v>0.72599999999999998</v>
      </c>
      <c r="G42" s="961">
        <f t="shared" si="1"/>
        <v>7.2599999999999997E-4</v>
      </c>
    </row>
    <row r="43" spans="1:12" x14ac:dyDescent="0.25">
      <c r="A43" s="946" t="s">
        <v>580</v>
      </c>
      <c r="B43" s="939" t="s">
        <v>544</v>
      </c>
      <c r="C43" s="947">
        <v>44.2</v>
      </c>
      <c r="D43" s="939" t="s">
        <v>545</v>
      </c>
      <c r="E43" s="948">
        <v>2848.8579599999998</v>
      </c>
      <c r="F43" s="941">
        <v>1000</v>
      </c>
      <c r="G43" s="961">
        <f t="shared" si="1"/>
        <v>1</v>
      </c>
    </row>
    <row r="44" spans="1:12" x14ac:dyDescent="0.25">
      <c r="A44" s="946" t="s">
        <v>581</v>
      </c>
      <c r="B44" s="939" t="s">
        <v>541</v>
      </c>
      <c r="C44" s="947">
        <v>42.370415999999999</v>
      </c>
      <c r="D44" s="939" t="s">
        <v>542</v>
      </c>
      <c r="E44" s="948">
        <v>2.7269419663332002</v>
      </c>
      <c r="F44" s="941">
        <v>0.875</v>
      </c>
      <c r="G44" s="961">
        <f t="shared" si="1"/>
        <v>8.7500000000000002E-4</v>
      </c>
    </row>
    <row r="45" spans="1:12" ht="17.25" x14ac:dyDescent="0.25">
      <c r="A45" s="946" t="s">
        <v>582</v>
      </c>
      <c r="B45" s="939" t="s">
        <v>519</v>
      </c>
      <c r="C45" s="947">
        <v>44.505684000000002</v>
      </c>
      <c r="D45" s="939" t="s">
        <v>1255</v>
      </c>
      <c r="E45" s="948">
        <v>2298.0406502190385</v>
      </c>
      <c r="F45" s="941">
        <v>702</v>
      </c>
      <c r="G45" s="961">
        <f t="shared" si="1"/>
        <v>0.70199999999999996</v>
      </c>
    </row>
    <row r="46" spans="1:12" x14ac:dyDescent="0.25">
      <c r="A46" s="946" t="s">
        <v>583</v>
      </c>
      <c r="B46" s="939" t="s">
        <v>541</v>
      </c>
      <c r="C46" s="947">
        <v>40.151411999999993</v>
      </c>
      <c r="D46" s="939" t="s">
        <v>542</v>
      </c>
      <c r="E46" s="948">
        <v>3.1179097171655994</v>
      </c>
      <c r="F46" s="941">
        <v>1</v>
      </c>
      <c r="G46" s="961">
        <f t="shared" si="1"/>
        <v>1E-3</v>
      </c>
    </row>
    <row r="47" spans="1:12" x14ac:dyDescent="0.25">
      <c r="A47" s="946" t="s">
        <v>584</v>
      </c>
      <c r="B47" s="939" t="s">
        <v>544</v>
      </c>
      <c r="C47" s="947">
        <v>38.1</v>
      </c>
      <c r="D47" s="939" t="s">
        <v>545</v>
      </c>
      <c r="E47" s="948">
        <v>2802.3997800000002</v>
      </c>
      <c r="F47" s="941">
        <v>1000</v>
      </c>
      <c r="G47" s="961">
        <f t="shared" si="1"/>
        <v>1</v>
      </c>
      <c r="H47" s="949"/>
      <c r="I47" s="949"/>
      <c r="J47" s="949"/>
      <c r="K47" s="949"/>
      <c r="L47" s="949"/>
    </row>
    <row r="48" spans="1:12" x14ac:dyDescent="0.25">
      <c r="A48" s="946" t="s">
        <v>585</v>
      </c>
      <c r="B48" s="939" t="s">
        <v>541</v>
      </c>
      <c r="C48" s="947">
        <v>42.286679999999997</v>
      </c>
      <c r="D48" s="939" t="s">
        <v>542</v>
      </c>
      <c r="E48" s="948">
        <v>2.6411072918025598</v>
      </c>
      <c r="F48" s="941">
        <v>0.84</v>
      </c>
      <c r="G48" s="961">
        <f t="shared" si="1"/>
        <v>8.3999999999999993E-4</v>
      </c>
      <c r="H48" s="949"/>
      <c r="I48" s="949"/>
      <c r="J48" s="949"/>
      <c r="K48" s="949"/>
      <c r="L48" s="949"/>
    </row>
    <row r="49" spans="1:13" x14ac:dyDescent="0.25">
      <c r="A49" s="946" t="s">
        <v>586</v>
      </c>
      <c r="B49" s="939" t="s">
        <v>544</v>
      </c>
      <c r="C49" s="947">
        <v>40.200000000000003</v>
      </c>
      <c r="D49" s="939" t="s">
        <v>545</v>
      </c>
      <c r="E49" s="948">
        <v>3024.7284</v>
      </c>
      <c r="F49" s="941">
        <v>1000</v>
      </c>
      <c r="G49" s="961">
        <f t="shared" si="1"/>
        <v>1</v>
      </c>
      <c r="H49" s="949"/>
      <c r="I49" s="949"/>
      <c r="J49" s="949"/>
      <c r="K49" s="949"/>
      <c r="L49" s="949"/>
    </row>
    <row r="50" spans="1:13" x14ac:dyDescent="0.25">
      <c r="A50" s="946" t="s">
        <v>587</v>
      </c>
      <c r="B50" s="939" t="s">
        <v>544</v>
      </c>
      <c r="C50" s="947">
        <v>42.705359999999999</v>
      </c>
      <c r="D50" s="939" t="s">
        <v>545</v>
      </c>
      <c r="E50" s="948">
        <v>3141.1415083680004</v>
      </c>
      <c r="F50" s="941">
        <v>1000</v>
      </c>
      <c r="G50" s="961">
        <f t="shared" si="1"/>
        <v>1</v>
      </c>
      <c r="H50" s="949"/>
      <c r="I50" s="949"/>
      <c r="J50" s="949"/>
      <c r="K50" s="949"/>
      <c r="L50" s="949"/>
    </row>
    <row r="51" spans="1:13" x14ac:dyDescent="0.25">
      <c r="A51" s="946" t="s">
        <v>588</v>
      </c>
      <c r="B51" s="939" t="s">
        <v>544</v>
      </c>
      <c r="C51" s="947">
        <v>40.200000000000003</v>
      </c>
      <c r="D51" s="939" t="s">
        <v>545</v>
      </c>
      <c r="E51" s="948">
        <v>2956.8627599999995</v>
      </c>
      <c r="F51" s="941">
        <v>1000</v>
      </c>
      <c r="G51" s="961">
        <f t="shared" si="1"/>
        <v>1</v>
      </c>
      <c r="H51" s="949"/>
      <c r="I51" s="949"/>
      <c r="J51" s="949"/>
      <c r="K51" s="949"/>
      <c r="L51" s="949"/>
    </row>
    <row r="52" spans="1:13" ht="17.25" x14ac:dyDescent="0.25">
      <c r="A52" s="946" t="s">
        <v>589</v>
      </c>
      <c r="B52" s="939" t="s">
        <v>519</v>
      </c>
      <c r="C52" s="947">
        <v>42.663491999999998</v>
      </c>
      <c r="D52" s="939" t="s">
        <v>1255</v>
      </c>
      <c r="E52" s="948">
        <v>2774.0467707567263</v>
      </c>
      <c r="F52" s="941">
        <v>884</v>
      </c>
      <c r="G52" s="961">
        <f t="shared" si="1"/>
        <v>0.88400000000000001</v>
      </c>
    </row>
    <row r="53" spans="1:13" x14ac:dyDescent="0.25">
      <c r="A53" s="946" t="s">
        <v>590</v>
      </c>
      <c r="B53" s="939" t="s">
        <v>544</v>
      </c>
      <c r="C53" s="947">
        <v>43.542720000000003</v>
      </c>
      <c r="D53" s="939" t="s">
        <v>545</v>
      </c>
      <c r="E53" s="948">
        <v>3124.3556223359997</v>
      </c>
      <c r="F53" s="941">
        <v>1000</v>
      </c>
      <c r="G53" s="961">
        <f t="shared" si="1"/>
        <v>1</v>
      </c>
    </row>
    <row r="54" spans="1:13" x14ac:dyDescent="0.25">
      <c r="A54" s="946" t="s">
        <v>591</v>
      </c>
      <c r="B54" s="939" t="s">
        <v>544</v>
      </c>
      <c r="C54" s="947">
        <v>43.542720000000003</v>
      </c>
      <c r="D54" s="939" t="s">
        <v>545</v>
      </c>
      <c r="E54" s="948">
        <v>3141.7727103359998</v>
      </c>
      <c r="F54" s="941">
        <v>1000</v>
      </c>
      <c r="G54" s="961">
        <f t="shared" si="1"/>
        <v>1</v>
      </c>
    </row>
    <row r="55" spans="1:13" x14ac:dyDescent="0.25">
      <c r="A55" s="946" t="s">
        <v>592</v>
      </c>
      <c r="B55" s="939" t="s">
        <v>544</v>
      </c>
      <c r="C55" s="947">
        <v>10</v>
      </c>
      <c r="D55" s="939" t="s">
        <v>545</v>
      </c>
      <c r="E55" s="948">
        <v>936.42</v>
      </c>
      <c r="F55" s="941">
        <v>1000</v>
      </c>
      <c r="G55" s="961">
        <f t="shared" si="1"/>
        <v>1</v>
      </c>
    </row>
    <row r="56" spans="1:13" x14ac:dyDescent="0.25">
      <c r="A56" s="946" t="s">
        <v>593</v>
      </c>
      <c r="B56" s="939" t="s">
        <v>541</v>
      </c>
      <c r="C56" s="947">
        <v>44.170739999999995</v>
      </c>
      <c r="D56" s="939" t="s">
        <v>542</v>
      </c>
      <c r="E56" s="948">
        <v>2.4074539998766915</v>
      </c>
      <c r="F56" s="941">
        <v>0.74099999999999999</v>
      </c>
      <c r="G56" s="961">
        <f t="shared" si="1"/>
        <v>7.4100000000000001E-4</v>
      </c>
    </row>
    <row r="57" spans="1:13" x14ac:dyDescent="0.25">
      <c r="A57" s="946" t="s">
        <v>594</v>
      </c>
      <c r="B57" s="939" t="s">
        <v>544</v>
      </c>
      <c r="C57" s="947">
        <v>9.76</v>
      </c>
      <c r="D57" s="939" t="s">
        <v>545</v>
      </c>
      <c r="E57" s="948">
        <v>1039.4107200000001</v>
      </c>
      <c r="F57" s="941">
        <v>1000</v>
      </c>
      <c r="G57" s="961">
        <f t="shared" si="1"/>
        <v>1</v>
      </c>
    </row>
    <row r="58" spans="1:13" ht="15.75" thickBot="1" x14ac:dyDescent="0.3">
      <c r="A58" s="950" t="s">
        <v>595</v>
      </c>
      <c r="B58" s="943" t="s">
        <v>544</v>
      </c>
      <c r="C58" s="951">
        <v>8.9</v>
      </c>
      <c r="D58" s="943" t="s">
        <v>545</v>
      </c>
      <c r="E58" s="952">
        <v>958.50329999999997</v>
      </c>
      <c r="F58" s="963">
        <v>1000</v>
      </c>
      <c r="G58" s="976">
        <f t="shared" si="1"/>
        <v>1</v>
      </c>
    </row>
    <row r="59" spans="1:13" ht="15.75" thickBot="1" x14ac:dyDescent="0.3">
      <c r="B59" s="795"/>
      <c r="C59" s="938"/>
      <c r="D59" s="938"/>
      <c r="E59" s="590"/>
    </row>
    <row r="60" spans="1:13" ht="15.75" thickBot="1" x14ac:dyDescent="0.3">
      <c r="A60" s="953" t="s">
        <v>1258</v>
      </c>
      <c r="B60" s="954"/>
      <c r="C60" s="954"/>
      <c r="D60" s="954"/>
      <c r="E60" s="955">
        <f>(VLOOKUP('Provisão Biomassa Combustível'!$J$18,A19:E58,5))/1000</f>
        <v>0.93641999999999992</v>
      </c>
      <c r="F60" s="954"/>
      <c r="G60" s="849" t="s">
        <v>692</v>
      </c>
    </row>
    <row r="61" spans="1:13" ht="15.75" thickBot="1" x14ac:dyDescent="0.3">
      <c r="E61" s="937"/>
      <c r="G61" s="198"/>
    </row>
    <row r="62" spans="1:13" ht="17.25" thickBot="1" x14ac:dyDescent="0.35">
      <c r="A62" s="956" t="s">
        <v>1546</v>
      </c>
      <c r="B62" s="957"/>
      <c r="C62" s="957"/>
      <c r="D62" s="954"/>
      <c r="E62" s="1105" t="str">
        <f>IFERROR((IF('Provisão Biomassa Combustível'!J10="",(VLOOKUP('Provisão Biomassa Combustível'!$J$8,'Apoio_Provisão Biomassa Comb.'!$A$5:$C$58,3,FALSE)),'Provisão Biomassa Combustível'!J10))/(IF('Provisão Biomassa Combustível'!J20="",(VLOOKUP('Provisão Biomassa Combustível'!$J$18,'Apoio_Provisão Biomassa Comb.'!$A$5:$C$58,3,FALSE)),'Provisão Biomassa Combustível'!J20)),"-")</f>
        <v>-</v>
      </c>
      <c r="F62" s="954"/>
      <c r="G62" s="849" t="s">
        <v>1403</v>
      </c>
    </row>
    <row r="63" spans="1:13" x14ac:dyDescent="0.25">
      <c r="M63" s="226"/>
    </row>
    <row r="64" spans="1:13" x14ac:dyDescent="0.25">
      <c r="E64" s="958"/>
    </row>
    <row r="65" spans="5:5" hidden="1" x14ac:dyDescent="0.25">
      <c r="E65" s="937"/>
    </row>
  </sheetData>
  <sheetProtection sheet="1" objects="1" scenarios="1" selectLockedCells="1" selectUnlockedCells="1"/>
  <mergeCells count="14">
    <mergeCell ref="A1:N1"/>
    <mergeCell ref="H14:K14"/>
    <mergeCell ref="H15:K15"/>
    <mergeCell ref="H16:K16"/>
    <mergeCell ref="H17:K17"/>
    <mergeCell ref="H5:K5"/>
    <mergeCell ref="H6:K6"/>
    <mergeCell ref="H7:K7"/>
    <mergeCell ref="H8:K8"/>
    <mergeCell ref="H9:K9"/>
    <mergeCell ref="H10:K10"/>
    <mergeCell ref="H11:K11"/>
    <mergeCell ref="H12:K12"/>
    <mergeCell ref="H13:K13"/>
  </mergeCells>
  <pageMargins left="0.511811024" right="0.511811024" top="0.78740157499999996" bottom="0.78740157499999996" header="0.31496062000000002" footer="0.31496062000000002"/>
  <drawing r:id="rId1"/>
  <legacyDrawing r:id="rId2"/>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A039"/>
  </sheetPr>
  <dimension ref="A1:AV102"/>
  <sheetViews>
    <sheetView showGridLines="0" zoomScaleNormal="100" workbookViewId="0">
      <pane ySplit="1" topLeftCell="A2" activePane="bottomLeft" state="frozen"/>
      <selection activeCell="A3" sqref="A3"/>
      <selection pane="bottomLeft" activeCell="A2" sqref="A2"/>
    </sheetView>
  </sheetViews>
  <sheetFormatPr defaultColWidth="0" defaultRowHeight="15" zeroHeight="1" x14ac:dyDescent="0.25"/>
  <cols>
    <col min="1" max="1" width="1.7109375" style="15" customWidth="1"/>
    <col min="2" max="2" width="3.42578125" style="12" customWidth="1"/>
    <col min="3" max="3" width="6.28515625" style="12" customWidth="1"/>
    <col min="4" max="5" width="14.7109375" style="12" customWidth="1"/>
    <col min="6" max="6" width="12.28515625" style="12" customWidth="1"/>
    <col min="7" max="8" width="14.7109375" style="12" customWidth="1"/>
    <col min="9" max="9" width="13.85546875" style="12" customWidth="1"/>
    <col min="10" max="10" width="14.42578125" style="12" customWidth="1"/>
    <col min="11" max="11" width="18.5703125" style="12" customWidth="1"/>
    <col min="12" max="12" width="14.7109375" style="12" customWidth="1"/>
    <col min="13" max="13" width="21.7109375" style="12" customWidth="1"/>
    <col min="14" max="14" width="11.7109375" style="12" customWidth="1"/>
    <col min="15" max="15" width="14.7109375" style="12" customWidth="1"/>
    <col min="16" max="16" width="14.7109375" style="12" hidden="1" customWidth="1"/>
    <col min="17" max="20" width="14.7109375" style="15" hidden="1" customWidth="1"/>
    <col min="21" max="22" width="8.85546875" style="15" hidden="1" customWidth="1"/>
    <col min="23" max="23" width="41" style="15" hidden="1" customWidth="1"/>
    <col min="24" max="24" width="11.42578125" style="15" hidden="1" customWidth="1"/>
    <col min="25" max="25" width="16.7109375" style="21" hidden="1" customWidth="1"/>
    <col min="26" max="26" width="9.140625" style="15" hidden="1" customWidth="1"/>
    <col min="27" max="27" width="10.85546875" style="15" hidden="1" customWidth="1"/>
    <col min="28" max="32" width="0" style="15" hidden="1" customWidth="1"/>
    <col min="33" max="48" width="0" style="12" hidden="1" customWidth="1"/>
    <col min="49" max="16384" width="8.85546875" style="12" hidden="1"/>
  </cols>
  <sheetData>
    <row r="1" spans="1:25" s="53" customFormat="1" ht="18.75" customHeight="1" x14ac:dyDescent="0.25">
      <c r="A1" s="482"/>
      <c r="B1" s="1596" t="s">
        <v>517</v>
      </c>
      <c r="C1" s="1597"/>
      <c r="D1" s="1597"/>
      <c r="E1" s="1597"/>
      <c r="F1" s="1597"/>
      <c r="G1" s="1597"/>
      <c r="H1" s="1597"/>
      <c r="I1" s="1597"/>
      <c r="J1" s="1597"/>
      <c r="K1" s="1597"/>
      <c r="L1" s="1597"/>
      <c r="M1" s="1597"/>
      <c r="N1" s="1597"/>
      <c r="O1" s="483"/>
    </row>
    <row r="2" spans="1:25" s="31" customFormat="1" ht="18.75" x14ac:dyDescent="0.3">
      <c r="A2" s="32"/>
      <c r="C2" s="239" t="s">
        <v>1259</v>
      </c>
      <c r="D2" s="230"/>
      <c r="E2" s="230"/>
      <c r="F2" s="230"/>
      <c r="G2" s="230"/>
      <c r="H2" s="230"/>
      <c r="I2" s="230"/>
      <c r="J2" s="230"/>
      <c r="K2" s="262"/>
      <c r="L2" s="263"/>
      <c r="M2" s="54"/>
      <c r="N2" s="54"/>
      <c r="O2" s="55"/>
      <c r="Y2" s="33"/>
    </row>
    <row r="3" spans="1:25" s="31" customFormat="1" ht="48" customHeight="1" x14ac:dyDescent="0.25">
      <c r="B3" s="55"/>
      <c r="C3" s="1608" t="s">
        <v>1592</v>
      </c>
      <c r="D3" s="1608"/>
      <c r="E3" s="1608"/>
      <c r="F3" s="1608"/>
      <c r="G3" s="1608"/>
      <c r="H3" s="1608"/>
      <c r="I3" s="1608"/>
      <c r="J3" s="1608"/>
      <c r="K3" s="1608"/>
      <c r="L3" s="1608"/>
      <c r="N3" s="30"/>
      <c r="O3" s="55"/>
      <c r="P3" s="30"/>
      <c r="Y3" s="33"/>
    </row>
    <row r="4" spans="1:25" s="31" customFormat="1" x14ac:dyDescent="0.25">
      <c r="B4" s="55"/>
      <c r="D4" s="30"/>
      <c r="N4" s="30"/>
      <c r="O4" s="55"/>
      <c r="P4" s="30"/>
      <c r="W4" s="237"/>
      <c r="X4" s="237"/>
      <c r="Y4" s="240"/>
    </row>
    <row r="5" spans="1:25" s="31" customFormat="1" ht="15.75" x14ac:dyDescent="0.25">
      <c r="B5" s="1560" t="s">
        <v>495</v>
      </c>
      <c r="C5" s="1561"/>
      <c r="D5" s="1561"/>
      <c r="E5" s="1561"/>
      <c r="F5" s="1561"/>
      <c r="G5" s="1561"/>
      <c r="H5" s="1561"/>
      <c r="I5" s="1561"/>
      <c r="J5" s="1561"/>
      <c r="K5" s="1561"/>
      <c r="L5" s="1561"/>
      <c r="M5" s="1561"/>
      <c r="N5" s="1562"/>
      <c r="O5" s="55"/>
      <c r="P5" s="30"/>
      <c r="W5" s="504"/>
      <c r="X5" s="237"/>
      <c r="Y5" s="240"/>
    </row>
    <row r="6" spans="1:25" s="31" customFormat="1" ht="17.25" customHeight="1" thickBot="1" x14ac:dyDescent="0.3">
      <c r="B6" s="55"/>
      <c r="C6" s="30"/>
      <c r="D6" s="488"/>
      <c r="E6" s="488"/>
      <c r="F6" s="488"/>
      <c r="G6" s="488"/>
      <c r="H6" s="488"/>
      <c r="I6" s="488"/>
      <c r="J6" s="488"/>
      <c r="K6" s="30"/>
      <c r="L6" s="30"/>
      <c r="M6" s="30"/>
      <c r="N6" s="30"/>
      <c r="O6" s="55"/>
      <c r="P6" s="30"/>
      <c r="W6" s="504"/>
      <c r="X6" s="237"/>
      <c r="Y6" s="240"/>
    </row>
    <row r="7" spans="1:25" s="31" customFormat="1" x14ac:dyDescent="0.25">
      <c r="B7" s="55"/>
      <c r="C7" s="30"/>
      <c r="D7" s="111" t="s">
        <v>534</v>
      </c>
      <c r="E7" s="112"/>
      <c r="F7" s="112"/>
      <c r="G7" s="112"/>
      <c r="H7" s="112"/>
      <c r="I7" s="112"/>
      <c r="J7" s="112"/>
      <c r="K7" s="1408" t="s">
        <v>535</v>
      </c>
      <c r="L7" s="1408" t="s">
        <v>30</v>
      </c>
      <c r="M7" s="1431" t="s">
        <v>536</v>
      </c>
      <c r="N7" s="30"/>
      <c r="O7" s="55"/>
      <c r="P7" s="30"/>
      <c r="W7" s="504"/>
      <c r="X7" s="237"/>
      <c r="Y7" s="240"/>
    </row>
    <row r="8" spans="1:25" s="31" customFormat="1" x14ac:dyDescent="0.25">
      <c r="B8" s="55"/>
      <c r="C8" s="30"/>
      <c r="D8" s="1634" t="s">
        <v>1265</v>
      </c>
      <c r="E8" s="1635"/>
      <c r="F8" s="1635"/>
      <c r="G8" s="1635"/>
      <c r="H8" s="1635"/>
      <c r="I8" s="1635"/>
      <c r="J8" s="1635"/>
      <c r="K8" s="1376" t="s">
        <v>12</v>
      </c>
      <c r="L8" s="1419"/>
      <c r="M8" s="1064"/>
      <c r="N8" s="30"/>
      <c r="O8" s="55"/>
      <c r="P8" s="30"/>
      <c r="W8" s="237"/>
      <c r="X8" s="237"/>
      <c r="Y8" s="240"/>
    </row>
    <row r="9" spans="1:25" s="31" customFormat="1" x14ac:dyDescent="0.25">
      <c r="B9" s="55"/>
      <c r="C9" s="30"/>
      <c r="D9" s="1636" t="s">
        <v>508</v>
      </c>
      <c r="E9" s="1637"/>
      <c r="F9" s="1637"/>
      <c r="G9" s="1637"/>
      <c r="H9" s="1637"/>
      <c r="I9" s="1637"/>
      <c r="J9" s="1637"/>
      <c r="K9" s="1369"/>
      <c r="L9" s="366"/>
      <c r="M9" s="496"/>
      <c r="N9" s="32"/>
      <c r="O9" s="30"/>
      <c r="P9" s="30"/>
      <c r="W9" s="237"/>
      <c r="X9" s="237"/>
      <c r="Y9" s="240"/>
    </row>
    <row r="10" spans="1:25" s="31" customFormat="1" ht="16.5" x14ac:dyDescent="0.3">
      <c r="B10" s="55"/>
      <c r="C10" s="30"/>
      <c r="D10" s="1636" t="s">
        <v>510</v>
      </c>
      <c r="E10" s="1637"/>
      <c r="F10" s="1637"/>
      <c r="G10" s="1637"/>
      <c r="H10" s="1637"/>
      <c r="I10" s="1637"/>
      <c r="J10" s="1637"/>
      <c r="K10" s="495"/>
      <c r="L10" s="1439" t="str">
        <f>IFERROR(IF($K$9="","",IF($K$8="Recursos Hídricos Superficiais",VLOOKUP($K$9,'Apoio_Regulação Qualidade Água'!A8:F136,6,0),VLOOKUP($K$9,'Apoio_Regulação Qualidade Água'!$H$8:$N$103,7,0))),"")</f>
        <v/>
      </c>
      <c r="M10" s="1440"/>
      <c r="N10" s="30"/>
      <c r="O10" s="55"/>
      <c r="P10" s="30"/>
      <c r="W10" s="237"/>
      <c r="X10" s="237"/>
      <c r="Y10" s="240"/>
    </row>
    <row r="11" spans="1:25" s="31" customFormat="1" x14ac:dyDescent="0.25">
      <c r="B11" s="55"/>
      <c r="C11" s="30"/>
      <c r="D11" s="1569" t="s">
        <v>0</v>
      </c>
      <c r="E11" s="1570"/>
      <c r="F11" s="1570"/>
      <c r="G11" s="1570"/>
      <c r="H11" s="1570"/>
      <c r="I11" s="1570"/>
      <c r="J11" s="1570"/>
      <c r="K11" s="366"/>
      <c r="L11" s="366"/>
      <c r="M11" s="367"/>
      <c r="N11" s="32"/>
      <c r="O11" s="55"/>
      <c r="P11" s="30"/>
      <c r="W11" s="237"/>
      <c r="X11" s="237"/>
      <c r="Y11" s="240"/>
    </row>
    <row r="12" spans="1:25" s="31" customFormat="1" ht="29.25" customHeight="1" x14ac:dyDescent="0.25">
      <c r="B12" s="55"/>
      <c r="C12" s="30"/>
      <c r="D12" s="1638" t="s">
        <v>509</v>
      </c>
      <c r="E12" s="1639"/>
      <c r="F12" s="1639"/>
      <c r="G12" s="1639"/>
      <c r="H12" s="1639"/>
      <c r="I12" s="1639"/>
      <c r="J12" s="1639"/>
      <c r="K12" s="556"/>
      <c r="L12" s="1439" t="str">
        <f>IFERROR(IF($K$9="","",IF($K$8="Recursos Hídricos Superficiais",VLOOKUP($K$9,'Apoio_Regulação Qualidade Água'!A9:F137,6,0),VLOOKUP($K$9,'Apoio_Regulação Qualidade Água'!$H$8:$N$103,7,0))),"")</f>
        <v/>
      </c>
      <c r="M12" s="1441" t="s">
        <v>1340</v>
      </c>
      <c r="N12" s="660"/>
      <c r="O12" s="55"/>
      <c r="P12" s="30"/>
      <c r="W12" s="237"/>
      <c r="X12" s="237"/>
      <c r="Y12" s="240"/>
    </row>
    <row r="13" spans="1:25" s="31" customFormat="1" ht="16.5" x14ac:dyDescent="0.3">
      <c r="B13" s="55"/>
      <c r="C13" s="30"/>
      <c r="D13" s="1630" t="s">
        <v>511</v>
      </c>
      <c r="E13" s="1631"/>
      <c r="F13" s="1631"/>
      <c r="G13" s="1631"/>
      <c r="H13" s="1631"/>
      <c r="I13" s="1631"/>
      <c r="J13" s="1631"/>
      <c r="K13" s="495"/>
      <c r="L13" s="1439" t="s">
        <v>519</v>
      </c>
      <c r="M13" s="496"/>
      <c r="N13" s="30"/>
      <c r="O13" s="55"/>
      <c r="P13" s="30"/>
      <c r="W13" s="237"/>
      <c r="X13" s="237"/>
      <c r="Y13" s="240"/>
    </row>
    <row r="14" spans="1:25" s="31" customFormat="1" ht="18" x14ac:dyDescent="0.3">
      <c r="B14" s="55"/>
      <c r="C14" s="30"/>
      <c r="D14" s="1630" t="s">
        <v>512</v>
      </c>
      <c r="E14" s="1631"/>
      <c r="F14" s="1631"/>
      <c r="G14" s="1631"/>
      <c r="H14" s="1631"/>
      <c r="I14" s="1631"/>
      <c r="J14" s="1631"/>
      <c r="K14" s="1291"/>
      <c r="L14" s="1439" t="s">
        <v>505</v>
      </c>
      <c r="M14" s="496"/>
      <c r="N14" s="30"/>
      <c r="O14" s="55"/>
      <c r="P14" s="30"/>
      <c r="W14" s="505"/>
      <c r="X14" s="237"/>
      <c r="Y14" s="240"/>
    </row>
    <row r="15" spans="1:25" s="31" customFormat="1" ht="16.5" x14ac:dyDescent="0.25">
      <c r="B15" s="55"/>
      <c r="C15" s="30"/>
      <c r="D15" s="1640" t="s">
        <v>513</v>
      </c>
      <c r="E15" s="1641"/>
      <c r="F15" s="1641"/>
      <c r="G15" s="1641"/>
      <c r="H15" s="1641"/>
      <c r="I15" s="1641"/>
      <c r="J15" s="1641"/>
      <c r="K15" s="494"/>
      <c r="L15" s="1439" t="s">
        <v>13</v>
      </c>
      <c r="M15" s="496"/>
      <c r="N15" s="32"/>
      <c r="O15" s="30"/>
      <c r="P15" s="30"/>
      <c r="W15" s="237"/>
      <c r="X15" s="237"/>
      <c r="Y15" s="240"/>
    </row>
    <row r="16" spans="1:25" s="31" customFormat="1" x14ac:dyDescent="0.25">
      <c r="B16" s="55"/>
      <c r="C16" s="30"/>
      <c r="D16" s="1569" t="s">
        <v>1</v>
      </c>
      <c r="E16" s="1570"/>
      <c r="F16" s="1570"/>
      <c r="G16" s="1570"/>
      <c r="H16" s="1570"/>
      <c r="I16" s="1570"/>
      <c r="J16" s="1570"/>
      <c r="K16" s="366"/>
      <c r="L16" s="366"/>
      <c r="M16" s="367"/>
      <c r="N16" s="32"/>
      <c r="O16" s="30"/>
      <c r="P16" s="30"/>
      <c r="W16" s="237"/>
      <c r="X16" s="237"/>
      <c r="Y16" s="240"/>
    </row>
    <row r="17" spans="1:28" s="31" customFormat="1" ht="16.5" x14ac:dyDescent="0.3">
      <c r="B17" s="55"/>
      <c r="C17" s="30"/>
      <c r="D17" s="1630" t="s">
        <v>518</v>
      </c>
      <c r="E17" s="1631"/>
      <c r="F17" s="1631"/>
      <c r="G17" s="1631"/>
      <c r="H17" s="1631"/>
      <c r="I17" s="1631"/>
      <c r="J17" s="1631"/>
      <c r="K17" s="495"/>
      <c r="L17" s="1439" t="str">
        <f>IFERROR(IF($K$9="","",IF($K$8="Recursos Hídricos Superficiais",VLOOKUP($K$9,'Apoio_Regulação Qualidade Água'!A10:F138,6,0),VLOOKUP($K$9,'Apoio_Regulação Qualidade Água'!$H$8:$N$103,7,0))),"")</f>
        <v/>
      </c>
      <c r="M17" s="496"/>
      <c r="N17" s="30"/>
      <c r="O17" s="55"/>
      <c r="P17" s="30"/>
      <c r="W17" s="237"/>
      <c r="X17" s="237"/>
      <c r="Y17" s="240"/>
    </row>
    <row r="18" spans="1:28" s="31" customFormat="1" ht="18" x14ac:dyDescent="0.3">
      <c r="B18" s="55"/>
      <c r="C18" s="30"/>
      <c r="D18" s="1630" t="s">
        <v>533</v>
      </c>
      <c r="E18" s="1631"/>
      <c r="F18" s="1631"/>
      <c r="G18" s="1631"/>
      <c r="H18" s="1631"/>
      <c r="I18" s="1631"/>
      <c r="J18" s="1631"/>
      <c r="K18" s="1368"/>
      <c r="L18" s="1439" t="s">
        <v>505</v>
      </c>
      <c r="M18" s="496"/>
      <c r="N18" s="30"/>
      <c r="O18" s="55"/>
      <c r="P18" s="30"/>
      <c r="W18" s="237"/>
      <c r="X18" s="237"/>
      <c r="Y18" s="240"/>
    </row>
    <row r="19" spans="1:28" s="31" customFormat="1" ht="16.5" x14ac:dyDescent="0.25">
      <c r="B19" s="55"/>
      <c r="C19" s="30"/>
      <c r="D19" s="1640" t="s">
        <v>513</v>
      </c>
      <c r="E19" s="1641"/>
      <c r="F19" s="1641"/>
      <c r="G19" s="1641"/>
      <c r="H19" s="1641"/>
      <c r="I19" s="1641"/>
      <c r="J19" s="1641"/>
      <c r="K19" s="494"/>
      <c r="L19" s="1439" t="s">
        <v>13</v>
      </c>
      <c r="M19" s="496"/>
      <c r="N19" s="32"/>
      <c r="O19" s="30"/>
      <c r="P19" s="30"/>
      <c r="W19" s="237"/>
      <c r="X19" s="237"/>
      <c r="Y19" s="240"/>
    </row>
    <row r="20" spans="1:28" s="31" customFormat="1" x14ac:dyDescent="0.25">
      <c r="B20" s="55"/>
      <c r="C20" s="30"/>
      <c r="D20" s="1569" t="s">
        <v>2</v>
      </c>
      <c r="E20" s="1570"/>
      <c r="F20" s="1570"/>
      <c r="G20" s="1570"/>
      <c r="H20" s="1570"/>
      <c r="I20" s="1570"/>
      <c r="J20" s="1570"/>
      <c r="K20" s="366"/>
      <c r="L20" s="366"/>
      <c r="M20" s="1442"/>
      <c r="N20" s="30"/>
      <c r="O20" s="55"/>
      <c r="P20" s="30"/>
      <c r="W20" s="505"/>
      <c r="X20" s="237"/>
      <c r="Y20" s="240"/>
    </row>
    <row r="21" spans="1:28" s="31" customFormat="1" ht="16.5" x14ac:dyDescent="0.3">
      <c r="B21" s="55"/>
      <c r="C21" s="30"/>
      <c r="D21" s="1630" t="s">
        <v>514</v>
      </c>
      <c r="E21" s="1631"/>
      <c r="F21" s="1631"/>
      <c r="G21" s="1631"/>
      <c r="H21" s="1631"/>
      <c r="I21" s="1631"/>
      <c r="J21" s="1631"/>
      <c r="K21" s="495"/>
      <c r="L21" s="1439" t="str">
        <f>IFERROR(IF($K$9="","",IF($K$8="Recursos Hídricos Superficiais",VLOOKUP($K$9,'Apoio_Regulação Qualidade Água'!A14:F142,6,0),VLOOKUP($K$9,'Apoio_Regulação Qualidade Água'!$H$8:$N$103,7,0))),"")</f>
        <v/>
      </c>
      <c r="M21" s="496"/>
      <c r="N21" s="30"/>
      <c r="O21" s="55"/>
      <c r="P21" s="30"/>
      <c r="W21" s="505"/>
      <c r="X21" s="237"/>
      <c r="Y21" s="240"/>
    </row>
    <row r="22" spans="1:28" s="31" customFormat="1" ht="16.5" x14ac:dyDescent="0.3">
      <c r="B22" s="55"/>
      <c r="C22" s="30"/>
      <c r="D22" s="1630" t="s">
        <v>515</v>
      </c>
      <c r="E22" s="1631"/>
      <c r="F22" s="1631"/>
      <c r="G22" s="1631"/>
      <c r="H22" s="1631"/>
      <c r="I22" s="1631"/>
      <c r="J22" s="1631"/>
      <c r="K22" s="556"/>
      <c r="L22" s="1439" t="str">
        <f>IFERROR(IF($K$9="","",IF($K$8="Recursos Hídricos Superficiais",VLOOKUP($K$9,'Apoio_Regulação Qualidade Água'!A15:F143,6,0),VLOOKUP($K$9,'Apoio_Regulação Qualidade Água'!$H$8:$N$103,7,0))),"")</f>
        <v/>
      </c>
      <c r="M22" s="496"/>
      <c r="N22" s="30"/>
      <c r="O22" s="55"/>
      <c r="P22" s="30"/>
      <c r="W22" s="505"/>
      <c r="X22" s="237"/>
      <c r="Y22" s="240"/>
    </row>
    <row r="23" spans="1:28" s="31" customFormat="1" ht="31.5" customHeight="1" thickBot="1" x14ac:dyDescent="0.3">
      <c r="B23" s="55"/>
      <c r="C23" s="30"/>
      <c r="D23" s="1645" t="s">
        <v>516</v>
      </c>
      <c r="E23" s="1646"/>
      <c r="F23" s="1646"/>
      <c r="G23" s="1646"/>
      <c r="H23" s="1646"/>
      <c r="I23" s="1646"/>
      <c r="J23" s="1646"/>
      <c r="K23" s="608"/>
      <c r="L23" s="1421" t="s">
        <v>13</v>
      </c>
      <c r="M23" s="498"/>
      <c r="N23" s="30"/>
      <c r="O23" s="55"/>
      <c r="P23" s="30"/>
      <c r="W23" s="237"/>
      <c r="X23" s="506"/>
      <c r="Y23" s="240"/>
    </row>
    <row r="24" spans="1:28" s="31" customFormat="1" x14ac:dyDescent="0.25">
      <c r="A24" s="30"/>
      <c r="B24" s="55"/>
      <c r="C24" s="30"/>
      <c r="D24" s="30"/>
      <c r="E24" s="30"/>
      <c r="F24" s="30"/>
      <c r="G24" s="30"/>
      <c r="H24" s="30"/>
      <c r="I24" s="30"/>
      <c r="J24" s="30"/>
      <c r="K24" s="30"/>
      <c r="L24" s="30"/>
      <c r="M24" s="30"/>
      <c r="N24" s="30"/>
      <c r="O24" s="55"/>
      <c r="P24" s="30"/>
      <c r="W24" s="237"/>
      <c r="X24" s="240"/>
      <c r="Y24" s="507"/>
      <c r="Z24" s="30"/>
      <c r="AA24" s="58"/>
      <c r="AB24" s="30"/>
    </row>
    <row r="25" spans="1:28" s="31" customFormat="1" ht="15.75" x14ac:dyDescent="0.25">
      <c r="B25" s="1616" t="s">
        <v>498</v>
      </c>
      <c r="C25" s="1617"/>
      <c r="D25" s="1617"/>
      <c r="E25" s="1617"/>
      <c r="F25" s="1617"/>
      <c r="G25" s="1617"/>
      <c r="H25" s="1617"/>
      <c r="I25" s="1617"/>
      <c r="J25" s="1617"/>
      <c r="K25" s="1617"/>
      <c r="L25" s="1617"/>
      <c r="M25" s="1617"/>
      <c r="N25" s="1618"/>
      <c r="O25" s="61"/>
      <c r="P25" s="61"/>
      <c r="W25" s="237"/>
      <c r="X25" s="240"/>
      <c r="Y25" s="507"/>
      <c r="Z25" s="30"/>
      <c r="AA25" s="58"/>
      <c r="AB25" s="30"/>
    </row>
    <row r="26" spans="1:28" s="31" customFormat="1" ht="16.5" thickBot="1" x14ac:dyDescent="0.3">
      <c r="B26" s="1494"/>
      <c r="C26" s="1501"/>
      <c r="D26" s="1501"/>
      <c r="E26" s="1501"/>
      <c r="F26" s="1500"/>
      <c r="G26" s="1500"/>
      <c r="H26" s="1500"/>
      <c r="I26" s="1500"/>
      <c r="J26" s="1500"/>
      <c r="K26" s="1500"/>
      <c r="L26" s="1500"/>
      <c r="M26" s="1500"/>
      <c r="N26" s="1498"/>
      <c r="O26" s="61"/>
      <c r="P26" s="61"/>
      <c r="W26" s="237"/>
      <c r="X26" s="240"/>
      <c r="Y26" s="507"/>
      <c r="Z26" s="30"/>
      <c r="AA26" s="58"/>
      <c r="AB26" s="30"/>
    </row>
    <row r="27" spans="1:28" s="31" customFormat="1" ht="15.75" thickBot="1" x14ac:dyDescent="0.3">
      <c r="B27" s="60"/>
      <c r="C27" s="1644" t="s">
        <v>0</v>
      </c>
      <c r="D27" s="1644"/>
      <c r="E27" s="1644"/>
      <c r="F27" s="30"/>
      <c r="G27" s="64" t="s">
        <v>1</v>
      </c>
      <c r="H27" s="64"/>
      <c r="I27" s="64"/>
      <c r="J27" s="30"/>
      <c r="K27" s="1647" t="s">
        <v>3</v>
      </c>
      <c r="L27" s="1647"/>
      <c r="M27" s="63"/>
      <c r="N27" s="62"/>
      <c r="O27" s="61"/>
      <c r="P27" s="61"/>
      <c r="W27" s="237"/>
      <c r="X27" s="240"/>
      <c r="Y27" s="507"/>
      <c r="Z27" s="30"/>
      <c r="AA27" s="58"/>
      <c r="AB27" s="30"/>
    </row>
    <row r="28" spans="1:28" s="30" customFormat="1" ht="15.75" x14ac:dyDescent="0.25">
      <c r="B28" s="60"/>
      <c r="C28" s="37" t="s">
        <v>31</v>
      </c>
      <c r="D28" s="1106" t="str">
        <f>IF(K12="","",K12-K10)</f>
        <v/>
      </c>
      <c r="E28" s="41" t="str">
        <f>IF(D28="","",L10)</f>
        <v/>
      </c>
      <c r="F28" s="61"/>
      <c r="G28" s="457" t="s">
        <v>33</v>
      </c>
      <c r="H28" s="499" t="str">
        <f>IF(K17="","",IF(K8='Apoio_Regulação Qualidade Água'!A142,IF(VLOOKUP(K9,'Apoio_Regulação Qualidade Água'!A9:G136,7,FALSE)="M",IF(K17-K10&gt;0,K17-K10,"N/A"),IF(K17&gt;K10,"N/A",(K17-K10)*-1)),IF(K17&gt;K10,K17-K10,"N/A")))</f>
        <v/>
      </c>
      <c r="I28" s="458" t="str">
        <f>IF(H28="N/A","",L10)</f>
        <v/>
      </c>
      <c r="J28" s="61"/>
      <c r="K28" s="489" t="s">
        <v>32</v>
      </c>
      <c r="L28" s="1370" t="str">
        <f>IF(K21="","",IF('Regulação Qualidade da Água'!K8='Apoio_Regulação Qualidade Água'!A142,IF((VLOOKUP(K9,'Apoio_Regulação Qualidade Água'!A9:G136,7,FALSE))="M",(K21-K22),((K21-K22)*-1)),IF(K22&gt;K21,(K21-K22),(K21-K22))))</f>
        <v/>
      </c>
      <c r="M28" s="43" t="str">
        <f>L21</f>
        <v/>
      </c>
      <c r="N28" s="62"/>
      <c r="O28" s="61"/>
      <c r="P28" s="61"/>
      <c r="X28" s="56"/>
      <c r="Y28" s="57"/>
      <c r="AA28" s="58"/>
    </row>
    <row r="29" spans="1:28" s="31" customFormat="1" ht="16.5" thickBot="1" x14ac:dyDescent="0.3">
      <c r="B29" s="60"/>
      <c r="C29" s="38" t="s">
        <v>506</v>
      </c>
      <c r="D29" s="1107" t="str">
        <f>IF(D28="","",K13*K14+K15)</f>
        <v/>
      </c>
      <c r="E29" s="42" t="str">
        <f>L15</f>
        <v>R$</v>
      </c>
      <c r="F29" s="61"/>
      <c r="G29" s="500" t="s">
        <v>506</v>
      </c>
      <c r="H29" s="834" t="str">
        <f>IF(H28="","",IF(H28="N/A","",K13*K18+K19))</f>
        <v/>
      </c>
      <c r="I29" s="501" t="s">
        <v>13</v>
      </c>
      <c r="J29" s="61"/>
      <c r="K29" s="490" t="s">
        <v>506</v>
      </c>
      <c r="L29" s="491" t="str">
        <f>IF(L28="","",IF(L28&lt;0,K23*-1,K23))</f>
        <v/>
      </c>
      <c r="M29" s="44" t="s">
        <v>13</v>
      </c>
      <c r="N29" s="62"/>
      <c r="O29" s="61"/>
      <c r="P29" s="61"/>
      <c r="W29" s="30"/>
      <c r="X29" s="56"/>
      <c r="Y29" s="57"/>
      <c r="Z29" s="30"/>
      <c r="AA29" s="58"/>
      <c r="AB29" s="30"/>
    </row>
    <row r="30" spans="1:28" s="31" customFormat="1" ht="15.75" thickBot="1" x14ac:dyDescent="0.3">
      <c r="B30" s="60"/>
      <c r="C30" s="65"/>
      <c r="D30" s="61"/>
      <c r="E30" s="61"/>
      <c r="F30" s="61"/>
      <c r="G30" s="66"/>
      <c r="H30" s="61"/>
      <c r="I30" s="65"/>
      <c r="J30" s="61"/>
      <c r="K30" s="61"/>
      <c r="L30" s="211"/>
      <c r="M30" s="66"/>
      <c r="N30" s="68"/>
      <c r="O30" s="67"/>
      <c r="P30" s="67"/>
      <c r="W30" s="30"/>
      <c r="X30" s="56"/>
      <c r="Y30" s="57"/>
      <c r="Z30" s="30"/>
      <c r="AA30" s="58"/>
      <c r="AB30" s="30"/>
    </row>
    <row r="31" spans="1:28" s="31" customFormat="1" x14ac:dyDescent="0.25">
      <c r="B31" s="60"/>
      <c r="C31" s="1374"/>
      <c r="D31" s="1374"/>
      <c r="E31" s="1374"/>
      <c r="F31" s="1374"/>
      <c r="G31" s="1374"/>
      <c r="H31" s="1374"/>
      <c r="I31" s="1374"/>
      <c r="J31" s="1374"/>
      <c r="K31" s="1374"/>
      <c r="L31" s="1378"/>
      <c r="M31" s="1374"/>
      <c r="N31" s="62"/>
      <c r="O31" s="1374"/>
      <c r="P31" s="1374"/>
      <c r="W31" s="30"/>
      <c r="X31" s="56"/>
      <c r="Y31" s="57"/>
      <c r="Z31" s="30"/>
      <c r="AA31" s="58"/>
      <c r="AB31" s="30"/>
    </row>
    <row r="32" spans="1:28" s="31" customFormat="1" x14ac:dyDescent="0.25">
      <c r="B32" s="60"/>
      <c r="C32" s="1374"/>
      <c r="D32" s="1374"/>
      <c r="E32" s="1374"/>
      <c r="F32" s="1374"/>
      <c r="G32" s="1374"/>
      <c r="H32" s="1374"/>
      <c r="I32" s="1374"/>
      <c r="J32" s="1374"/>
      <c r="K32" s="1374"/>
      <c r="L32" s="1378"/>
      <c r="M32" s="1374"/>
      <c r="N32" s="62"/>
      <c r="O32" s="1374"/>
      <c r="P32" s="1374"/>
      <c r="W32" s="30"/>
      <c r="X32" s="56"/>
      <c r="Y32" s="57"/>
      <c r="Z32" s="30"/>
      <c r="AA32" s="58"/>
      <c r="AB32" s="30"/>
    </row>
    <row r="33" spans="2:28" s="31" customFormat="1" ht="15.75" x14ac:dyDescent="0.25">
      <c r="B33" s="1560" t="s">
        <v>1589</v>
      </c>
      <c r="C33" s="1561"/>
      <c r="D33" s="1561"/>
      <c r="E33" s="1561"/>
      <c r="F33" s="1561"/>
      <c r="G33" s="1561"/>
      <c r="H33" s="1561"/>
      <c r="I33" s="1561"/>
      <c r="J33" s="1561"/>
      <c r="K33" s="1561"/>
      <c r="L33" s="1561"/>
      <c r="M33" s="1561"/>
      <c r="N33" s="1562"/>
      <c r="O33" s="1374"/>
      <c r="P33" s="1374"/>
      <c r="W33" s="30"/>
      <c r="X33" s="56"/>
      <c r="Y33" s="57"/>
      <c r="Z33" s="30"/>
      <c r="AA33" s="58"/>
      <c r="AB33" s="30"/>
    </row>
    <row r="34" spans="2:28" s="31" customFormat="1" x14ac:dyDescent="0.25">
      <c r="B34" s="60"/>
      <c r="C34" s="1374"/>
      <c r="D34" s="1374"/>
      <c r="E34" s="1374"/>
      <c r="F34" s="1374"/>
      <c r="G34" s="1374"/>
      <c r="H34" s="1374"/>
      <c r="I34" s="1374"/>
      <c r="J34" s="1374"/>
      <c r="K34" s="1374"/>
      <c r="L34" s="1378"/>
      <c r="M34" s="1374"/>
      <c r="N34" s="62"/>
      <c r="O34" s="1374"/>
      <c r="P34" s="1374"/>
      <c r="W34" s="30"/>
      <c r="X34" s="56"/>
      <c r="Y34" s="57"/>
      <c r="Z34" s="30"/>
      <c r="AA34" s="58"/>
      <c r="AB34" s="30"/>
    </row>
    <row r="35" spans="2:28" s="31" customFormat="1" ht="15.75" thickBot="1" x14ac:dyDescent="0.3">
      <c r="B35" s="55"/>
      <c r="C35" s="30"/>
      <c r="E35" s="13" t="s">
        <v>1341</v>
      </c>
      <c r="F35" s="607"/>
      <c r="G35" s="607"/>
      <c r="H35" s="607"/>
      <c r="I35" s="30"/>
      <c r="J35" s="30"/>
      <c r="K35" s="30"/>
      <c r="L35" s="30"/>
      <c r="M35" s="30"/>
      <c r="N35" s="32"/>
      <c r="O35" s="30"/>
      <c r="P35" s="30"/>
      <c r="W35" s="30"/>
      <c r="X35" s="56"/>
      <c r="Y35" s="57"/>
      <c r="Z35" s="30"/>
      <c r="AA35" s="58"/>
      <c r="AB35" s="30"/>
    </row>
    <row r="36" spans="2:28" s="31" customFormat="1" ht="15.75" x14ac:dyDescent="0.25">
      <c r="B36" s="55"/>
      <c r="C36" s="30"/>
      <c r="E36" s="1609" t="s">
        <v>1260</v>
      </c>
      <c r="F36" s="1628"/>
      <c r="G36" s="1624" t="s">
        <v>0</v>
      </c>
      <c r="H36" s="1624"/>
      <c r="I36" s="1625" t="s">
        <v>1</v>
      </c>
      <c r="J36" s="1625"/>
      <c r="K36" s="1626" t="s">
        <v>2</v>
      </c>
      <c r="L36" s="1627"/>
      <c r="M36" s="30"/>
      <c r="N36" s="32"/>
      <c r="W36" s="30"/>
      <c r="X36" s="56"/>
      <c r="Y36" s="57"/>
      <c r="Z36" s="30"/>
      <c r="AA36" s="58"/>
      <c r="AB36" s="30"/>
    </row>
    <row r="37" spans="2:28" s="31" customFormat="1" ht="15.75" x14ac:dyDescent="0.25">
      <c r="B37" s="55"/>
      <c r="C37" s="30"/>
      <c r="E37" s="1611"/>
      <c r="F37" s="1629"/>
      <c r="G37" s="661" t="s">
        <v>31</v>
      </c>
      <c r="H37" s="661" t="s">
        <v>1337</v>
      </c>
      <c r="I37" s="671" t="s">
        <v>33</v>
      </c>
      <c r="J37" s="670" t="s">
        <v>1337</v>
      </c>
      <c r="K37" s="672" t="s">
        <v>32</v>
      </c>
      <c r="L37" s="673" t="s">
        <v>1337</v>
      </c>
      <c r="M37" s="30"/>
      <c r="N37" s="32"/>
      <c r="W37" s="30"/>
      <c r="X37" s="56"/>
      <c r="Y37" s="57"/>
      <c r="Z37" s="30"/>
      <c r="AA37" s="58"/>
      <c r="AB37" s="30"/>
    </row>
    <row r="38" spans="2:28" s="31" customFormat="1" ht="15" customHeight="1" x14ac:dyDescent="0.25">
      <c r="B38" s="55"/>
      <c r="C38" s="30"/>
      <c r="E38" s="1632"/>
      <c r="F38" s="1633"/>
      <c r="G38" s="1040"/>
      <c r="H38" s="1039"/>
      <c r="I38" s="1031"/>
      <c r="J38" s="1039"/>
      <c r="K38" s="1039"/>
      <c r="L38" s="1041"/>
      <c r="M38" s="214"/>
      <c r="N38" s="32"/>
      <c r="W38" s="30"/>
      <c r="X38" s="56"/>
      <c r="Y38" s="57"/>
      <c r="Z38" s="30"/>
      <c r="AA38" s="58"/>
      <c r="AB38" s="30"/>
    </row>
    <row r="39" spans="2:28" s="31" customFormat="1" ht="15" customHeight="1" x14ac:dyDescent="0.25">
      <c r="B39" s="55"/>
      <c r="C39" s="30"/>
      <c r="E39" s="1632"/>
      <c r="F39" s="1633"/>
      <c r="G39" s="1040"/>
      <c r="H39" s="1039"/>
      <c r="I39" s="1031"/>
      <c r="J39" s="1039"/>
      <c r="K39" s="1042"/>
      <c r="L39" s="1043"/>
      <c r="M39" s="30"/>
      <c r="N39" s="32"/>
      <c r="W39" s="30"/>
      <c r="X39" s="56"/>
      <c r="Y39" s="57"/>
      <c r="Z39" s="30"/>
      <c r="AA39" s="58"/>
      <c r="AB39" s="30"/>
    </row>
    <row r="40" spans="2:28" ht="15" customHeight="1" x14ac:dyDescent="0.25">
      <c r="B40" s="285"/>
      <c r="C40" s="13"/>
      <c r="E40" s="1622"/>
      <c r="F40" s="1623"/>
      <c r="G40" s="664"/>
      <c r="H40" s="664"/>
      <c r="I40" s="665"/>
      <c r="J40" s="665"/>
      <c r="K40" s="665"/>
      <c r="L40" s="666"/>
      <c r="M40" s="13"/>
      <c r="N40" s="287"/>
    </row>
    <row r="41" spans="2:28" ht="15" customHeight="1" x14ac:dyDescent="0.25">
      <c r="B41" s="285"/>
      <c r="C41" s="13"/>
      <c r="E41" s="1622"/>
      <c r="F41" s="1623"/>
      <c r="G41" s="664"/>
      <c r="H41" s="664"/>
      <c r="I41" s="665"/>
      <c r="J41" s="665"/>
      <c r="K41" s="665"/>
      <c r="L41" s="666"/>
      <c r="M41" s="13"/>
      <c r="N41" s="287"/>
    </row>
    <row r="42" spans="2:28" ht="15" customHeight="1" x14ac:dyDescent="0.25">
      <c r="B42" s="285"/>
      <c r="C42" s="13"/>
      <c r="E42" s="1622"/>
      <c r="F42" s="1623"/>
      <c r="G42" s="664"/>
      <c r="H42" s="664"/>
      <c r="I42" s="665"/>
      <c r="J42" s="665"/>
      <c r="K42" s="665"/>
      <c r="L42" s="666"/>
      <c r="M42" s="13"/>
      <c r="N42" s="287"/>
    </row>
    <row r="43" spans="2:28" ht="15" customHeight="1" x14ac:dyDescent="0.25">
      <c r="B43" s="285"/>
      <c r="C43" s="13"/>
      <c r="E43" s="1622"/>
      <c r="F43" s="1623"/>
      <c r="G43" s="664"/>
      <c r="H43" s="664"/>
      <c r="I43" s="665"/>
      <c r="J43" s="665"/>
      <c r="K43" s="665"/>
      <c r="L43" s="666"/>
      <c r="M43" s="13"/>
      <c r="N43" s="287"/>
    </row>
    <row r="44" spans="2:28" ht="15" customHeight="1" x14ac:dyDescent="0.25">
      <c r="B44" s="285"/>
      <c r="C44" s="13"/>
      <c r="E44" s="1622"/>
      <c r="F44" s="1623"/>
      <c r="G44" s="664"/>
      <c r="H44" s="664"/>
      <c r="I44" s="665"/>
      <c r="J44" s="665"/>
      <c r="K44" s="665"/>
      <c r="L44" s="666"/>
      <c r="M44" s="13"/>
      <c r="N44" s="287"/>
    </row>
    <row r="45" spans="2:28" ht="15" customHeight="1" x14ac:dyDescent="0.25">
      <c r="B45" s="285"/>
      <c r="C45" s="13"/>
      <c r="E45" s="1622"/>
      <c r="F45" s="1623"/>
      <c r="G45" s="664"/>
      <c r="H45" s="664"/>
      <c r="I45" s="665"/>
      <c r="J45" s="665"/>
      <c r="K45" s="665"/>
      <c r="L45" s="666"/>
      <c r="M45" s="13"/>
      <c r="N45" s="287"/>
    </row>
    <row r="46" spans="2:28" ht="15" customHeight="1" x14ac:dyDescent="0.25">
      <c r="B46" s="285"/>
      <c r="C46" s="13"/>
      <c r="E46" s="1622"/>
      <c r="F46" s="1623"/>
      <c r="G46" s="664"/>
      <c r="H46" s="664"/>
      <c r="I46" s="665"/>
      <c r="J46" s="665"/>
      <c r="K46" s="665"/>
      <c r="L46" s="666"/>
      <c r="M46" s="13"/>
      <c r="N46" s="287"/>
    </row>
    <row r="47" spans="2:28" ht="15.75" customHeight="1" thickBot="1" x14ac:dyDescent="0.3">
      <c r="B47" s="285"/>
      <c r="C47" s="13"/>
      <c r="E47" s="1642"/>
      <c r="F47" s="1643"/>
      <c r="G47" s="667"/>
      <c r="H47" s="667"/>
      <c r="I47" s="668"/>
      <c r="J47" s="668"/>
      <c r="K47" s="668"/>
      <c r="L47" s="669"/>
      <c r="M47" s="13"/>
      <c r="N47" s="287"/>
    </row>
    <row r="48" spans="2:28" x14ac:dyDescent="0.25">
      <c r="B48" s="285"/>
      <c r="C48" s="13"/>
      <c r="D48" s="13"/>
      <c r="E48" s="13"/>
      <c r="F48" s="13"/>
      <c r="G48" s="13"/>
      <c r="H48" s="13"/>
      <c r="I48" s="13"/>
      <c r="J48" s="13"/>
      <c r="K48" s="13"/>
      <c r="L48" s="13"/>
      <c r="M48" s="13"/>
      <c r="N48" s="287"/>
    </row>
    <row r="49" spans="2:25" ht="15.75" thickBot="1" x14ac:dyDescent="0.3">
      <c r="B49" s="492"/>
      <c r="C49" s="108"/>
      <c r="D49" s="108"/>
      <c r="E49" s="108"/>
      <c r="F49" s="108"/>
      <c r="G49" s="108"/>
      <c r="H49" s="108"/>
      <c r="I49" s="108"/>
      <c r="J49" s="108"/>
      <c r="K49" s="108"/>
      <c r="L49" s="108"/>
      <c r="M49" s="108"/>
      <c r="N49" s="493"/>
    </row>
    <row r="50" spans="2:25" ht="15.75" thickTop="1" x14ac:dyDescent="0.25"/>
    <row r="51" spans="2:25" hidden="1" x14ac:dyDescent="0.25"/>
    <row r="52" spans="2:25" hidden="1" x14ac:dyDescent="0.25"/>
    <row r="53" spans="2:25" hidden="1" x14ac:dyDescent="0.25"/>
    <row r="54" spans="2:25" hidden="1" x14ac:dyDescent="0.25"/>
    <row r="55" spans="2:25" hidden="1" x14ac:dyDescent="0.25"/>
    <row r="56" spans="2:25" s="15" customFormat="1" hidden="1" x14ac:dyDescent="0.25"/>
    <row r="57" spans="2:25" s="15" customFormat="1" hidden="1" x14ac:dyDescent="0.25">
      <c r="Y57" s="21"/>
    </row>
    <row r="58" spans="2:25" s="15" customFormat="1" hidden="1" x14ac:dyDescent="0.25">
      <c r="Y58" s="21"/>
    </row>
    <row r="59" spans="2:25" s="15" customFormat="1" hidden="1" x14ac:dyDescent="0.25">
      <c r="Y59" s="21"/>
    </row>
    <row r="60" spans="2:25" s="15" customFormat="1" hidden="1" x14ac:dyDescent="0.25">
      <c r="Y60" s="21"/>
    </row>
    <row r="61" spans="2:25" s="15" customFormat="1" hidden="1" x14ac:dyDescent="0.25">
      <c r="Y61" s="21"/>
    </row>
    <row r="62" spans="2:25" s="15" customFormat="1" hidden="1" x14ac:dyDescent="0.25">
      <c r="Y62" s="21"/>
    </row>
    <row r="63" spans="2:25" s="15" customFormat="1" hidden="1" x14ac:dyDescent="0.25">
      <c r="Y63" s="21"/>
    </row>
    <row r="64" spans="2:25" s="15" customFormat="1" hidden="1" x14ac:dyDescent="0.25">
      <c r="Y64" s="21"/>
    </row>
    <row r="65" spans="25:25" s="15" customFormat="1" hidden="1" x14ac:dyDescent="0.25">
      <c r="Y65" s="21"/>
    </row>
    <row r="66" spans="25:25" s="15" customFormat="1" hidden="1" x14ac:dyDescent="0.25">
      <c r="Y66" s="21"/>
    </row>
    <row r="67" spans="25:25" s="15" customFormat="1" hidden="1" x14ac:dyDescent="0.25">
      <c r="Y67" s="21"/>
    </row>
    <row r="68" spans="25:25" s="15" customFormat="1" hidden="1" x14ac:dyDescent="0.25">
      <c r="Y68" s="21"/>
    </row>
    <row r="69" spans="25:25" s="15" customFormat="1" hidden="1" x14ac:dyDescent="0.25">
      <c r="Y69" s="21"/>
    </row>
    <row r="70" spans="25:25" s="15" customFormat="1" hidden="1" x14ac:dyDescent="0.25">
      <c r="Y70" s="21"/>
    </row>
    <row r="71" spans="25:25" s="15" customFormat="1" hidden="1" x14ac:dyDescent="0.25">
      <c r="Y71" s="21"/>
    </row>
    <row r="72" spans="25:25" s="15" customFormat="1" hidden="1" x14ac:dyDescent="0.25">
      <c r="Y72" s="21"/>
    </row>
    <row r="73" spans="25:25" s="15" customFormat="1" hidden="1" x14ac:dyDescent="0.25">
      <c r="Y73" s="21"/>
    </row>
    <row r="74" spans="25:25" s="15" customFormat="1" hidden="1" x14ac:dyDescent="0.25">
      <c r="Y74" s="21"/>
    </row>
    <row r="75" spans="25:25" s="15" customFormat="1" hidden="1" x14ac:dyDescent="0.25">
      <c r="Y75" s="21"/>
    </row>
    <row r="76" spans="25:25" s="15" customFormat="1" hidden="1" x14ac:dyDescent="0.25">
      <c r="Y76" s="21"/>
    </row>
    <row r="77" spans="25:25" s="15" customFormat="1" hidden="1" x14ac:dyDescent="0.25">
      <c r="Y77" s="21"/>
    </row>
    <row r="78" spans="25:25" s="15" customFormat="1" hidden="1" x14ac:dyDescent="0.25">
      <c r="Y78" s="21"/>
    </row>
    <row r="79" spans="25:25" s="15" customFormat="1" hidden="1" x14ac:dyDescent="0.25">
      <c r="Y79" s="21"/>
    </row>
    <row r="80" spans="25:25" s="15" customFormat="1" hidden="1" x14ac:dyDescent="0.25">
      <c r="Y80" s="21"/>
    </row>
    <row r="81" spans="2:48" hidden="1" x14ac:dyDescent="0.25"/>
    <row r="82" spans="2:48" hidden="1" x14ac:dyDescent="0.25"/>
    <row r="83" spans="2:48" hidden="1" x14ac:dyDescent="0.25"/>
    <row r="84" spans="2:48" s="15" customFormat="1" hidden="1" x14ac:dyDescent="0.25">
      <c r="D84" s="12"/>
      <c r="E84" s="12"/>
      <c r="F84" s="12"/>
      <c r="G84" s="12"/>
      <c r="H84" s="12"/>
      <c r="I84" s="12"/>
      <c r="J84" s="12"/>
      <c r="K84" s="12"/>
      <c r="L84" s="12"/>
      <c r="M84" s="12"/>
      <c r="N84" s="12"/>
      <c r="O84" s="12"/>
      <c r="P84" s="12"/>
      <c r="Y84" s="21"/>
      <c r="AG84" s="12"/>
      <c r="AH84" s="12"/>
      <c r="AI84" s="12"/>
      <c r="AJ84" s="12"/>
      <c r="AK84" s="12"/>
      <c r="AL84" s="12"/>
      <c r="AM84" s="12"/>
      <c r="AN84" s="12"/>
      <c r="AO84" s="12"/>
      <c r="AP84" s="12"/>
      <c r="AQ84" s="12"/>
      <c r="AR84" s="12"/>
      <c r="AS84" s="12"/>
      <c r="AT84" s="12"/>
      <c r="AU84" s="12"/>
      <c r="AV84" s="12"/>
    </row>
    <row r="85" spans="2:48" s="15" customFormat="1" hidden="1" x14ac:dyDescent="0.25">
      <c r="D85" s="12"/>
      <c r="E85" s="12"/>
      <c r="F85" s="12"/>
      <c r="G85" s="12"/>
      <c r="H85" s="12"/>
      <c r="I85" s="12"/>
      <c r="J85" s="12"/>
      <c r="K85" s="12"/>
      <c r="L85" s="12"/>
      <c r="M85" s="12"/>
      <c r="N85" s="12"/>
      <c r="O85" s="12"/>
      <c r="P85" s="12"/>
      <c r="Y85" s="21"/>
      <c r="AG85" s="12"/>
      <c r="AH85" s="12"/>
      <c r="AI85" s="12"/>
      <c r="AJ85" s="12"/>
      <c r="AK85" s="12"/>
      <c r="AL85" s="12"/>
      <c r="AM85" s="12"/>
      <c r="AN85" s="12"/>
      <c r="AO85" s="12"/>
      <c r="AP85" s="12"/>
      <c r="AQ85" s="12"/>
      <c r="AR85" s="12"/>
      <c r="AS85" s="12"/>
      <c r="AT85" s="12"/>
      <c r="AU85" s="12"/>
      <c r="AV85" s="12"/>
    </row>
    <row r="86" spans="2:48" s="15" customFormat="1" hidden="1" x14ac:dyDescent="0.25">
      <c r="D86" s="12"/>
      <c r="E86" s="12"/>
      <c r="F86" s="12"/>
      <c r="G86" s="12"/>
      <c r="H86" s="12"/>
      <c r="I86" s="12"/>
      <c r="J86" s="12"/>
      <c r="K86" s="12"/>
      <c r="L86" s="12"/>
      <c r="M86" s="12"/>
      <c r="N86" s="12"/>
      <c r="O86" s="12"/>
      <c r="P86" s="12"/>
      <c r="Y86" s="21"/>
      <c r="AG86" s="12"/>
      <c r="AH86" s="12"/>
      <c r="AI86" s="12"/>
      <c r="AJ86" s="12"/>
      <c r="AK86" s="12"/>
      <c r="AL86" s="12"/>
      <c r="AM86" s="12"/>
      <c r="AN86" s="12"/>
      <c r="AO86" s="12"/>
      <c r="AP86" s="12"/>
      <c r="AQ86" s="12"/>
      <c r="AR86" s="12"/>
      <c r="AS86" s="12"/>
      <c r="AT86" s="12"/>
      <c r="AU86" s="12"/>
      <c r="AV86" s="12"/>
    </row>
    <row r="87" spans="2:48" s="15" customFormat="1" hidden="1" x14ac:dyDescent="0.25">
      <c r="D87" s="12"/>
      <c r="E87" s="12"/>
      <c r="F87" s="12"/>
      <c r="G87" s="12"/>
      <c r="H87" s="12"/>
      <c r="I87" s="12"/>
      <c r="J87" s="12"/>
      <c r="K87" s="12"/>
      <c r="L87" s="12"/>
      <c r="M87" s="12"/>
      <c r="N87" s="12"/>
      <c r="O87" s="12"/>
      <c r="P87" s="12"/>
      <c r="Y87" s="21"/>
      <c r="AG87" s="12"/>
      <c r="AH87" s="12"/>
      <c r="AI87" s="12"/>
      <c r="AJ87" s="12"/>
      <c r="AK87" s="12"/>
      <c r="AL87" s="12"/>
      <c r="AM87" s="12"/>
      <c r="AN87" s="12"/>
      <c r="AO87" s="12"/>
      <c r="AP87" s="12"/>
      <c r="AQ87" s="12"/>
      <c r="AR87" s="12"/>
      <c r="AS87" s="12"/>
      <c r="AT87" s="12"/>
      <c r="AU87" s="12"/>
      <c r="AV87" s="12"/>
    </row>
    <row r="88" spans="2:48" s="15" customFormat="1" hidden="1" x14ac:dyDescent="0.25">
      <c r="D88" s="12"/>
      <c r="E88" s="12"/>
      <c r="F88" s="12"/>
      <c r="G88" s="12"/>
      <c r="H88" s="12"/>
      <c r="I88" s="12"/>
      <c r="J88" s="12"/>
      <c r="K88" s="12"/>
      <c r="L88" s="12"/>
      <c r="M88" s="12"/>
      <c r="N88" s="12"/>
      <c r="O88" s="12"/>
      <c r="P88" s="12"/>
      <c r="Y88" s="21"/>
      <c r="AG88" s="12"/>
      <c r="AH88" s="12"/>
      <c r="AI88" s="12"/>
      <c r="AJ88" s="12"/>
      <c r="AK88" s="12"/>
      <c r="AL88" s="12"/>
      <c r="AM88" s="12"/>
      <c r="AN88" s="12"/>
      <c r="AO88" s="12"/>
      <c r="AP88" s="12"/>
      <c r="AQ88" s="12"/>
      <c r="AR88" s="12"/>
      <c r="AS88" s="12"/>
      <c r="AT88" s="12"/>
      <c r="AU88" s="12"/>
      <c r="AV88" s="12"/>
    </row>
    <row r="89" spans="2:48" s="15" customFormat="1" hidden="1" x14ac:dyDescent="0.25">
      <c r="D89" s="12"/>
      <c r="E89" s="12"/>
      <c r="F89" s="12"/>
      <c r="G89" s="12"/>
      <c r="H89" s="12"/>
      <c r="I89" s="12"/>
      <c r="J89" s="12"/>
      <c r="K89" s="12"/>
      <c r="L89" s="12"/>
      <c r="M89" s="12"/>
      <c r="N89" s="12"/>
      <c r="O89" s="12"/>
      <c r="P89" s="12"/>
      <c r="Y89" s="21"/>
      <c r="AG89" s="12"/>
      <c r="AH89" s="12"/>
      <c r="AI89" s="12"/>
      <c r="AJ89" s="12"/>
      <c r="AK89" s="12"/>
      <c r="AL89" s="12"/>
      <c r="AM89" s="12"/>
      <c r="AN89" s="12"/>
      <c r="AO89" s="12"/>
      <c r="AP89" s="12"/>
      <c r="AQ89" s="12"/>
      <c r="AR89" s="12"/>
      <c r="AS89" s="12"/>
      <c r="AT89" s="12"/>
      <c r="AU89" s="12"/>
      <c r="AV89" s="12"/>
    </row>
    <row r="90" spans="2:48" s="15" customFormat="1" hidden="1" x14ac:dyDescent="0.25">
      <c r="D90" s="12"/>
      <c r="E90" s="12"/>
      <c r="F90" s="12"/>
      <c r="G90" s="12"/>
      <c r="H90" s="12"/>
      <c r="I90" s="12"/>
      <c r="J90" s="12"/>
      <c r="K90" s="12"/>
      <c r="L90" s="12"/>
      <c r="M90" s="12"/>
      <c r="N90" s="12"/>
      <c r="O90" s="12"/>
      <c r="P90" s="12"/>
      <c r="Y90" s="21"/>
      <c r="AG90" s="12"/>
      <c r="AH90" s="12"/>
      <c r="AI90" s="12"/>
      <c r="AJ90" s="12"/>
      <c r="AK90" s="12"/>
      <c r="AL90" s="12"/>
      <c r="AM90" s="12"/>
      <c r="AN90" s="12"/>
      <c r="AO90" s="12"/>
      <c r="AP90" s="12"/>
      <c r="AQ90" s="12"/>
      <c r="AR90" s="12"/>
      <c r="AS90" s="12"/>
      <c r="AT90" s="12"/>
      <c r="AU90" s="12"/>
      <c r="AV90" s="12"/>
    </row>
    <row r="91" spans="2:48" s="15" customFormat="1" hidden="1" x14ac:dyDescent="0.25">
      <c r="D91" s="12"/>
      <c r="E91" s="12"/>
      <c r="F91" s="12"/>
      <c r="G91" s="12"/>
      <c r="H91" s="12"/>
      <c r="I91" s="12"/>
      <c r="J91" s="12"/>
      <c r="K91" s="12"/>
      <c r="L91" s="12"/>
      <c r="M91" s="12"/>
      <c r="N91" s="12"/>
      <c r="O91" s="12"/>
      <c r="P91" s="12"/>
      <c r="Y91" s="21"/>
      <c r="AG91" s="12"/>
      <c r="AH91" s="12"/>
      <c r="AI91" s="12"/>
      <c r="AJ91" s="12"/>
      <c r="AK91" s="12"/>
      <c r="AL91" s="12"/>
      <c r="AM91" s="12"/>
      <c r="AN91" s="12"/>
      <c r="AO91" s="12"/>
      <c r="AP91" s="12"/>
      <c r="AQ91" s="12"/>
      <c r="AR91" s="12"/>
      <c r="AS91" s="12"/>
      <c r="AT91" s="12"/>
      <c r="AU91" s="12"/>
      <c r="AV91" s="12"/>
    </row>
    <row r="92" spans="2:48" s="15" customFormat="1" hidden="1" x14ac:dyDescent="0.25">
      <c r="D92" s="12"/>
      <c r="E92" s="12"/>
      <c r="F92" s="12"/>
      <c r="G92" s="12"/>
      <c r="H92" s="12"/>
      <c r="I92" s="12"/>
      <c r="J92" s="12"/>
      <c r="K92" s="12"/>
      <c r="L92" s="12"/>
      <c r="M92" s="12"/>
      <c r="N92" s="12"/>
      <c r="O92" s="12"/>
      <c r="P92" s="12"/>
      <c r="Y92" s="21"/>
      <c r="AG92" s="12"/>
      <c r="AH92" s="12"/>
      <c r="AI92" s="12"/>
      <c r="AJ92" s="12"/>
      <c r="AK92" s="12"/>
      <c r="AL92" s="12"/>
      <c r="AM92" s="12"/>
      <c r="AN92" s="12"/>
      <c r="AO92" s="12"/>
      <c r="AP92" s="12"/>
      <c r="AQ92" s="12"/>
      <c r="AR92" s="12"/>
      <c r="AS92" s="12"/>
      <c r="AT92" s="12"/>
      <c r="AU92" s="12"/>
      <c r="AV92" s="12"/>
    </row>
    <row r="93" spans="2:48" s="15" customFormat="1" hidden="1" x14ac:dyDescent="0.25">
      <c r="D93" s="12"/>
      <c r="E93" s="12"/>
      <c r="F93" s="12"/>
      <c r="G93" s="12"/>
      <c r="H93" s="12"/>
      <c r="I93" s="12"/>
      <c r="J93" s="12"/>
      <c r="K93" s="12"/>
      <c r="L93" s="12"/>
      <c r="M93" s="12"/>
      <c r="N93" s="12"/>
      <c r="O93" s="12"/>
      <c r="P93" s="12"/>
      <c r="Y93" s="21"/>
      <c r="AG93" s="12"/>
      <c r="AH93" s="12"/>
      <c r="AI93" s="12"/>
      <c r="AJ93" s="12"/>
      <c r="AK93" s="12"/>
      <c r="AL93" s="12"/>
      <c r="AM93" s="12"/>
      <c r="AN93" s="12"/>
      <c r="AO93" s="12"/>
      <c r="AP93" s="12"/>
      <c r="AQ93" s="12"/>
      <c r="AR93" s="12"/>
      <c r="AS93" s="12"/>
      <c r="AT93" s="12"/>
      <c r="AU93" s="12"/>
      <c r="AV93" s="12"/>
    </row>
    <row r="94" spans="2:48" s="15" customFormat="1" hidden="1" x14ac:dyDescent="0.25">
      <c r="D94" s="12"/>
      <c r="E94" s="12"/>
      <c r="F94" s="12"/>
      <c r="G94" s="12"/>
      <c r="H94" s="12"/>
      <c r="I94" s="12"/>
      <c r="J94" s="12"/>
      <c r="K94" s="12"/>
      <c r="L94" s="12"/>
      <c r="M94" s="12"/>
      <c r="N94" s="12"/>
      <c r="O94" s="12"/>
      <c r="P94" s="12"/>
      <c r="Y94" s="21"/>
      <c r="AG94" s="12"/>
      <c r="AH94" s="12"/>
      <c r="AI94" s="12"/>
      <c r="AJ94" s="12"/>
      <c r="AK94" s="12"/>
      <c r="AL94" s="12"/>
      <c r="AM94" s="12"/>
      <c r="AN94" s="12"/>
      <c r="AO94" s="12"/>
      <c r="AP94" s="12"/>
      <c r="AQ94" s="12"/>
      <c r="AR94" s="12"/>
      <c r="AS94" s="12"/>
      <c r="AT94" s="12"/>
      <c r="AU94" s="12"/>
      <c r="AV94" s="12"/>
    </row>
    <row r="95" spans="2:48" s="15" customFormat="1" hidden="1" x14ac:dyDescent="0.25">
      <c r="D95" s="12"/>
      <c r="E95" s="12"/>
      <c r="F95" s="12"/>
      <c r="G95" s="12"/>
      <c r="H95" s="12"/>
      <c r="I95" s="12"/>
      <c r="J95" s="12"/>
      <c r="K95" s="12"/>
      <c r="L95" s="12"/>
      <c r="M95" s="12"/>
      <c r="N95" s="12"/>
      <c r="O95" s="12"/>
      <c r="P95" s="12"/>
      <c r="Y95" s="21"/>
      <c r="AG95" s="12"/>
      <c r="AH95" s="12"/>
      <c r="AI95" s="12"/>
      <c r="AJ95" s="12"/>
      <c r="AK95" s="12"/>
      <c r="AL95" s="12"/>
      <c r="AM95" s="12"/>
      <c r="AN95" s="12"/>
      <c r="AO95" s="12"/>
      <c r="AP95" s="12"/>
      <c r="AQ95" s="12"/>
      <c r="AR95" s="12"/>
      <c r="AS95" s="12"/>
      <c r="AT95" s="12"/>
      <c r="AU95" s="12"/>
      <c r="AV95" s="12"/>
    </row>
    <row r="96" spans="2:48" hidden="1" x14ac:dyDescent="0.25">
      <c r="B96" s="15"/>
      <c r="C96" s="15"/>
    </row>
    <row r="97" spans="2:3" hidden="1" x14ac:dyDescent="0.25">
      <c r="B97" s="15"/>
      <c r="C97" s="15"/>
    </row>
    <row r="98" spans="2:3" hidden="1" x14ac:dyDescent="0.25"/>
    <row r="99" spans="2:3" hidden="1" x14ac:dyDescent="0.25"/>
    <row r="100" spans="2:3" hidden="1" x14ac:dyDescent="0.25"/>
    <row r="101" spans="2:3" hidden="1" x14ac:dyDescent="0.25"/>
    <row r="102" spans="2:3" hidden="1" x14ac:dyDescent="0.25"/>
  </sheetData>
  <mergeCells count="37">
    <mergeCell ref="E46:F46"/>
    <mergeCell ref="E47:F47"/>
    <mergeCell ref="B25:N25"/>
    <mergeCell ref="C27:E27"/>
    <mergeCell ref="D18:J18"/>
    <mergeCell ref="D23:J23"/>
    <mergeCell ref="D21:J21"/>
    <mergeCell ref="D22:J22"/>
    <mergeCell ref="K27:L27"/>
    <mergeCell ref="D19:J19"/>
    <mergeCell ref="D20:J20"/>
    <mergeCell ref="E39:F39"/>
    <mergeCell ref="E40:F40"/>
    <mergeCell ref="E41:F41"/>
    <mergeCell ref="E42:F42"/>
    <mergeCell ref="E43:F43"/>
    <mergeCell ref="B1:N1"/>
    <mergeCell ref="B5:N5"/>
    <mergeCell ref="D14:J14"/>
    <mergeCell ref="C3:L3"/>
    <mergeCell ref="E38:F38"/>
    <mergeCell ref="D8:J8"/>
    <mergeCell ref="D9:J9"/>
    <mergeCell ref="D10:J10"/>
    <mergeCell ref="D12:J12"/>
    <mergeCell ref="D17:J17"/>
    <mergeCell ref="D13:J13"/>
    <mergeCell ref="D11:J11"/>
    <mergeCell ref="D15:J15"/>
    <mergeCell ref="D16:J16"/>
    <mergeCell ref="B33:N33"/>
    <mergeCell ref="E44:F44"/>
    <mergeCell ref="E45:F45"/>
    <mergeCell ref="G36:H36"/>
    <mergeCell ref="I36:J36"/>
    <mergeCell ref="K36:L36"/>
    <mergeCell ref="E36:F37"/>
  </mergeCells>
  <dataValidations count="3">
    <dataValidation allowBlank="1" showErrorMessage="1" prompt="Inserir unidade" sqref="L14:L15 L8:L9 L18:L19"/>
    <dataValidation type="list" allowBlank="1" showInputMessage="1" showErrorMessage="1" sqref="K8">
      <formula1>RH</formula1>
    </dataValidation>
    <dataValidation type="list" allowBlank="1" showInputMessage="1" showErrorMessage="1" sqref="K9">
      <formula1>IF($K$8="","",IF($K$8="Recursos Hídricos Superficiais",Superfície,IF($K$8="Água Subterrâneas",Subterrânea)))</formula1>
    </dataValidation>
  </dataValidations>
  <hyperlinks>
    <hyperlink ref="M12" location="'Apoio_Qualidade Água e Efluente'!A1" display="Se indisponível, clique aqui."/>
  </hyperlinks>
  <pageMargins left="0.511811024" right="0.511811024" top="0.78740157499999996" bottom="0.78740157499999996" header="0.31496062000000002" footer="0.31496062000000002"/>
  <pageSetup paperSize="9" orientation="portrait"/>
  <drawing r:id="rId1"/>
  <legacyDrawing r:id="rId2"/>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6F6F6E"/>
  </sheetPr>
  <dimension ref="A1:BL144"/>
  <sheetViews>
    <sheetView showGridLines="0" workbookViewId="0">
      <pane ySplit="7" topLeftCell="A8" activePane="bottomLeft" state="frozen"/>
      <selection pane="bottomLeft" activeCell="A141" sqref="A141:XFD143"/>
    </sheetView>
  </sheetViews>
  <sheetFormatPr defaultColWidth="8.85546875" defaultRowHeight="15" zeroHeight="1" x14ac:dyDescent="0.25"/>
  <cols>
    <col min="1" max="1" width="40.140625" style="10" customWidth="1"/>
    <col min="2" max="4" width="27.42578125" style="10" customWidth="1"/>
    <col min="5" max="5" width="23.28515625" style="8" customWidth="1"/>
    <col min="6" max="6" width="15.140625" style="15" customWidth="1"/>
    <col min="7" max="7" width="12.42578125" style="1285" customWidth="1"/>
    <col min="8" max="8" width="42.42578125" style="12" customWidth="1"/>
    <col min="9" max="9" width="12" style="12" bestFit="1" customWidth="1"/>
    <col min="10" max="10" width="14.42578125" style="12" bestFit="1" customWidth="1"/>
    <col min="11" max="11" width="15.42578125" style="12" bestFit="1" customWidth="1"/>
    <col min="12" max="12" width="13.42578125" style="12" bestFit="1" customWidth="1"/>
    <col min="13" max="13" width="21" style="12" customWidth="1"/>
    <col min="14" max="14" width="12.28515625" style="85" customWidth="1"/>
    <col min="15" max="15" width="8.85546875" style="91"/>
    <col min="16" max="64" width="8.85546875" style="19"/>
  </cols>
  <sheetData>
    <row r="1" spans="1:64" s="6" customFormat="1" ht="16.5" thickBot="1" x14ac:dyDescent="0.3">
      <c r="A1" s="1619" t="s">
        <v>1515</v>
      </c>
      <c r="B1" s="1619"/>
      <c r="C1" s="1619"/>
      <c r="D1" s="1619"/>
      <c r="E1" s="1619"/>
      <c r="F1" s="1619"/>
      <c r="G1" s="1619"/>
      <c r="H1" s="1619"/>
      <c r="I1" s="502"/>
      <c r="J1" s="502"/>
      <c r="K1" s="502"/>
      <c r="L1" s="502"/>
      <c r="M1" s="502"/>
      <c r="N1" s="502"/>
      <c r="O1" s="503"/>
      <c r="P1" s="19"/>
      <c r="Q1" s="19"/>
      <c r="R1" s="19"/>
      <c r="S1" s="19"/>
      <c r="T1" s="19"/>
      <c r="U1" s="19"/>
      <c r="V1" s="19"/>
      <c r="W1" s="19"/>
      <c r="X1" s="19"/>
      <c r="Y1" s="19"/>
      <c r="Z1" s="19"/>
      <c r="AA1" s="19"/>
      <c r="AB1" s="19"/>
      <c r="AC1" s="19"/>
      <c r="AD1" s="19"/>
      <c r="AE1" s="19"/>
      <c r="AF1" s="19"/>
      <c r="AG1" s="19"/>
      <c r="AH1" s="19"/>
      <c r="AI1" s="19"/>
      <c r="AJ1" s="19"/>
      <c r="AK1" s="19"/>
      <c r="AL1" s="19"/>
      <c r="AM1" s="19"/>
      <c r="AN1" s="19"/>
      <c r="AO1" s="19"/>
      <c r="AP1" s="19"/>
      <c r="AQ1" s="19"/>
      <c r="AR1" s="19"/>
      <c r="AS1" s="19"/>
      <c r="AT1" s="19"/>
      <c r="AU1" s="19"/>
      <c r="AV1" s="19"/>
      <c r="AW1" s="19"/>
      <c r="AX1" s="19"/>
      <c r="AY1" s="19"/>
      <c r="AZ1" s="19"/>
      <c r="BA1" s="19"/>
      <c r="BB1" s="19"/>
      <c r="BC1" s="19"/>
      <c r="BD1" s="19"/>
      <c r="BE1" s="19"/>
      <c r="BF1" s="19"/>
      <c r="BG1" s="19"/>
      <c r="BH1" s="19"/>
      <c r="BI1" s="19"/>
      <c r="BJ1" s="19"/>
      <c r="BK1" s="19"/>
      <c r="BL1" s="19"/>
    </row>
    <row r="2" spans="1:64" s="6" customFormat="1" x14ac:dyDescent="0.25">
      <c r="A2" s="10"/>
      <c r="B2" s="10"/>
      <c r="C2" s="10"/>
      <c r="D2" s="10"/>
      <c r="E2" s="8"/>
      <c r="F2" s="15"/>
      <c r="G2" s="1285"/>
      <c r="H2" s="12"/>
      <c r="I2" s="12"/>
      <c r="J2" s="12"/>
      <c r="K2" s="12"/>
      <c r="L2" s="12"/>
      <c r="M2" s="12"/>
      <c r="N2" s="85"/>
      <c r="O2" s="91"/>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c r="BL2" s="19"/>
    </row>
    <row r="3" spans="1:64" s="36" customFormat="1" ht="15.75" x14ac:dyDescent="0.25">
      <c r="A3" s="1660" t="s">
        <v>488</v>
      </c>
      <c r="B3" s="1660"/>
      <c r="C3" s="1660"/>
      <c r="D3" s="1660"/>
      <c r="E3" s="1660"/>
      <c r="F3" s="1660"/>
      <c r="G3" s="77"/>
      <c r="H3" s="1660" t="s">
        <v>487</v>
      </c>
      <c r="I3" s="1660"/>
      <c r="J3" s="1660"/>
      <c r="K3" s="1660"/>
      <c r="L3" s="1660"/>
      <c r="M3" s="1660"/>
      <c r="N3" s="1660"/>
      <c r="O3" s="91"/>
      <c r="P3" s="80"/>
      <c r="Q3" s="80"/>
      <c r="R3" s="80"/>
      <c r="S3" s="80"/>
      <c r="T3" s="80"/>
      <c r="U3" s="80"/>
      <c r="V3" s="80"/>
      <c r="W3" s="80"/>
      <c r="X3" s="80"/>
      <c r="Y3" s="80"/>
      <c r="Z3" s="80"/>
      <c r="AA3" s="80"/>
      <c r="AB3" s="80"/>
      <c r="AC3" s="80"/>
      <c r="AD3" s="80"/>
      <c r="AE3" s="80"/>
      <c r="AF3" s="80"/>
      <c r="AG3" s="80"/>
      <c r="AH3" s="80"/>
      <c r="AI3" s="80"/>
      <c r="AJ3" s="80"/>
      <c r="AK3" s="80"/>
      <c r="AL3" s="80"/>
      <c r="AM3" s="80"/>
      <c r="AN3" s="80"/>
      <c r="AO3" s="80"/>
      <c r="AP3" s="80"/>
      <c r="AQ3" s="80"/>
      <c r="AR3" s="80"/>
      <c r="AS3" s="80"/>
      <c r="AT3" s="80"/>
      <c r="AU3" s="80"/>
      <c r="AV3" s="80"/>
      <c r="AW3" s="80"/>
      <c r="AX3" s="80"/>
      <c r="AY3" s="80"/>
      <c r="AZ3" s="80"/>
      <c r="BA3" s="80"/>
      <c r="BB3" s="80"/>
      <c r="BC3" s="80"/>
      <c r="BD3" s="80"/>
      <c r="BE3" s="80"/>
      <c r="BF3" s="80"/>
      <c r="BG3" s="80"/>
      <c r="BH3" s="80"/>
      <c r="BI3" s="80"/>
      <c r="BJ3" s="80"/>
      <c r="BK3" s="80"/>
      <c r="BL3" s="80"/>
    </row>
    <row r="4" spans="1:64" s="6" customFormat="1" ht="15.75" x14ac:dyDescent="0.25">
      <c r="A4" s="10"/>
      <c r="B4" s="10"/>
      <c r="C4" s="1050" t="s">
        <v>484</v>
      </c>
      <c r="D4" s="10"/>
      <c r="E4" s="8"/>
      <c r="F4" s="15"/>
      <c r="G4" s="1285"/>
      <c r="H4" s="84"/>
      <c r="I4" s="12"/>
      <c r="J4" s="1052" t="s">
        <v>483</v>
      </c>
      <c r="K4" s="12"/>
      <c r="L4" s="12"/>
      <c r="M4" s="12"/>
      <c r="N4" s="85"/>
      <c r="O4" s="91"/>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row>
    <row r="5" spans="1:64" x14ac:dyDescent="0.25">
      <c r="H5" s="83" t="s">
        <v>444</v>
      </c>
    </row>
    <row r="6" spans="1:64" s="7" customFormat="1" ht="15.75" x14ac:dyDescent="0.25">
      <c r="A6" s="1661" t="s">
        <v>38</v>
      </c>
      <c r="B6" s="1661"/>
      <c r="C6" s="1661"/>
      <c r="D6" s="1661"/>
      <c r="E6" s="1661"/>
      <c r="F6" s="1661"/>
      <c r="G6" s="1286"/>
      <c r="H6" s="78" t="s">
        <v>29</v>
      </c>
      <c r="I6" s="1659" t="s">
        <v>287</v>
      </c>
      <c r="J6" s="1659"/>
      <c r="K6" s="1659"/>
      <c r="L6" s="1659"/>
      <c r="M6" s="78" t="s">
        <v>292</v>
      </c>
      <c r="N6" s="1662" t="s">
        <v>1264</v>
      </c>
      <c r="O6" s="1289"/>
      <c r="P6" s="81"/>
      <c r="Q6" s="81"/>
      <c r="R6" s="81"/>
      <c r="S6" s="81"/>
      <c r="T6" s="81"/>
      <c r="U6" s="81"/>
      <c r="V6" s="81"/>
      <c r="W6" s="81"/>
      <c r="X6" s="81"/>
      <c r="Y6" s="81"/>
      <c r="Z6" s="81"/>
      <c r="AA6" s="81"/>
      <c r="AB6" s="81"/>
      <c r="AC6" s="81"/>
      <c r="AD6" s="81"/>
      <c r="AE6" s="81"/>
      <c r="AF6" s="81"/>
      <c r="AG6" s="81"/>
      <c r="AH6" s="81"/>
      <c r="AI6" s="81"/>
      <c r="AJ6" s="81"/>
      <c r="AK6" s="81"/>
      <c r="AL6" s="81"/>
      <c r="AM6" s="81"/>
      <c r="AN6" s="81"/>
      <c r="AO6" s="81"/>
      <c r="AP6" s="81"/>
      <c r="AQ6" s="81"/>
      <c r="AR6" s="81"/>
      <c r="AS6" s="81"/>
      <c r="AT6" s="81"/>
      <c r="AU6" s="81"/>
      <c r="AV6" s="81"/>
      <c r="AW6" s="81"/>
      <c r="AX6" s="81"/>
      <c r="AY6" s="81"/>
      <c r="AZ6" s="81"/>
      <c r="BA6" s="81"/>
      <c r="BB6" s="81"/>
      <c r="BC6" s="81"/>
      <c r="BD6" s="81"/>
      <c r="BE6" s="81"/>
      <c r="BF6" s="81"/>
      <c r="BG6" s="81"/>
      <c r="BH6" s="81"/>
      <c r="BI6" s="81"/>
      <c r="BJ6" s="81"/>
      <c r="BK6" s="81"/>
      <c r="BL6" s="81"/>
    </row>
    <row r="7" spans="1:64" s="7" customFormat="1" ht="30" x14ac:dyDescent="0.25">
      <c r="A7" s="78" t="s">
        <v>48</v>
      </c>
      <c r="B7" s="78" t="s">
        <v>34</v>
      </c>
      <c r="C7" s="78" t="s">
        <v>35</v>
      </c>
      <c r="D7" s="78" t="s">
        <v>36</v>
      </c>
      <c r="E7" s="78" t="s">
        <v>37</v>
      </c>
      <c r="F7" s="931" t="s">
        <v>1127</v>
      </c>
      <c r="G7" s="1286"/>
      <c r="H7" s="86"/>
      <c r="I7" s="78" t="s">
        <v>288</v>
      </c>
      <c r="J7" s="78" t="s">
        <v>289</v>
      </c>
      <c r="K7" s="78" t="s">
        <v>290</v>
      </c>
      <c r="L7" s="78" t="s">
        <v>291</v>
      </c>
      <c r="M7" s="78"/>
      <c r="N7" s="1663"/>
      <c r="O7" s="1289"/>
      <c r="P7" s="81"/>
      <c r="Q7" s="81"/>
      <c r="R7" s="81"/>
      <c r="S7" s="81"/>
      <c r="T7" s="81"/>
      <c r="U7" s="81"/>
      <c r="V7" s="81"/>
      <c r="W7" s="81"/>
      <c r="X7" s="81"/>
      <c r="Y7" s="81"/>
      <c r="Z7" s="81"/>
      <c r="AA7" s="81"/>
      <c r="AB7" s="81"/>
      <c r="AC7" s="81"/>
      <c r="AD7" s="81"/>
      <c r="AE7" s="81"/>
      <c r="AF7" s="81"/>
      <c r="AG7" s="81"/>
      <c r="AH7" s="81"/>
      <c r="AI7" s="81"/>
      <c r="AJ7" s="81"/>
      <c r="AK7" s="81"/>
      <c r="AL7" s="81"/>
      <c r="AM7" s="81"/>
      <c r="AN7" s="81"/>
      <c r="AO7" s="81"/>
      <c r="AP7" s="81"/>
      <c r="AQ7" s="81"/>
      <c r="AR7" s="81"/>
      <c r="AS7" s="81"/>
      <c r="AT7" s="81"/>
      <c r="AU7" s="81"/>
      <c r="AV7" s="81"/>
      <c r="AW7" s="81"/>
      <c r="AX7" s="81"/>
      <c r="AY7" s="81"/>
      <c r="AZ7" s="81"/>
      <c r="BA7" s="81"/>
      <c r="BB7" s="81"/>
      <c r="BC7" s="81"/>
      <c r="BD7" s="81"/>
      <c r="BE7" s="81"/>
      <c r="BF7" s="81"/>
      <c r="BG7" s="81"/>
      <c r="BH7" s="81"/>
      <c r="BI7" s="81"/>
      <c r="BJ7" s="81"/>
      <c r="BK7" s="81"/>
      <c r="BL7" s="81"/>
    </row>
    <row r="8" spans="1:64" s="7" customFormat="1" ht="30" x14ac:dyDescent="0.25">
      <c r="A8" s="1284" t="s">
        <v>12</v>
      </c>
      <c r="B8" s="69" t="s">
        <v>222</v>
      </c>
      <c r="C8" s="69" t="s">
        <v>222</v>
      </c>
      <c r="D8" s="70" t="s">
        <v>285</v>
      </c>
      <c r="E8" s="71"/>
      <c r="F8" s="658"/>
      <c r="G8" s="1286"/>
      <c r="H8" s="1371"/>
      <c r="I8" s="1651" t="s">
        <v>293</v>
      </c>
      <c r="J8" s="1652"/>
      <c r="K8" s="1652"/>
      <c r="L8" s="1652"/>
      <c r="M8" s="1652"/>
      <c r="N8" s="1652"/>
      <c r="O8" s="1289"/>
      <c r="P8" s="81"/>
      <c r="Q8" s="81"/>
      <c r="R8" s="81"/>
      <c r="S8" s="81"/>
      <c r="T8" s="81"/>
      <c r="U8" s="81"/>
      <c r="V8" s="81"/>
      <c r="W8" s="81"/>
      <c r="X8" s="81"/>
      <c r="Y8" s="81"/>
      <c r="Z8" s="81"/>
      <c r="AA8" s="81"/>
      <c r="AB8" s="81"/>
      <c r="AC8" s="81"/>
      <c r="AD8" s="81"/>
      <c r="AE8" s="81"/>
      <c r="AF8" s="81"/>
      <c r="AG8" s="81"/>
      <c r="AH8" s="81"/>
      <c r="AI8" s="81"/>
      <c r="AJ8" s="81"/>
      <c r="AK8" s="81"/>
      <c r="AL8" s="81"/>
      <c r="AM8" s="81"/>
      <c r="AN8" s="81"/>
      <c r="AO8" s="81"/>
      <c r="AP8" s="81"/>
      <c r="AQ8" s="81"/>
      <c r="AR8" s="81"/>
      <c r="AS8" s="81"/>
      <c r="AT8" s="81"/>
      <c r="AU8" s="81"/>
      <c r="AV8" s="81"/>
      <c r="AW8" s="81"/>
      <c r="AX8" s="81"/>
      <c r="AY8" s="81"/>
      <c r="AZ8" s="81"/>
      <c r="BA8" s="81"/>
      <c r="BB8" s="81"/>
      <c r="BC8" s="81"/>
      <c r="BD8" s="81"/>
      <c r="BE8" s="81"/>
      <c r="BF8" s="81"/>
      <c r="BG8" s="81"/>
      <c r="BH8" s="81"/>
      <c r="BI8" s="81"/>
      <c r="BJ8" s="81"/>
      <c r="BK8" s="81"/>
      <c r="BL8" s="81"/>
    </row>
    <row r="9" spans="1:64" s="9" customFormat="1" ht="30" x14ac:dyDescent="0.25">
      <c r="A9" s="69" t="s">
        <v>223</v>
      </c>
      <c r="B9" s="69" t="s">
        <v>224</v>
      </c>
      <c r="C9" s="69" t="s">
        <v>224</v>
      </c>
      <c r="D9" s="70" t="s">
        <v>224</v>
      </c>
      <c r="E9" s="69" t="s">
        <v>224</v>
      </c>
      <c r="F9" s="853"/>
      <c r="G9" s="1287" t="s">
        <v>1534</v>
      </c>
      <c r="H9" s="76" t="s">
        <v>295</v>
      </c>
      <c r="I9" s="960" t="s">
        <v>296</v>
      </c>
      <c r="J9" s="1053">
        <v>5000</v>
      </c>
      <c r="K9" s="1053">
        <v>5000</v>
      </c>
      <c r="L9" s="960">
        <v>200</v>
      </c>
      <c r="M9" s="960">
        <v>50</v>
      </c>
      <c r="N9" s="855" t="s">
        <v>294</v>
      </c>
      <c r="O9" s="1290" t="s">
        <v>1534</v>
      </c>
      <c r="P9" s="82"/>
      <c r="Q9" s="82"/>
      <c r="R9" s="82"/>
      <c r="S9" s="82"/>
      <c r="T9" s="82"/>
      <c r="U9" s="82"/>
      <c r="V9" s="82"/>
      <c r="W9" s="82"/>
      <c r="X9" s="82"/>
      <c r="Y9" s="82"/>
      <c r="Z9" s="82"/>
      <c r="AA9" s="82"/>
      <c r="AB9" s="82"/>
      <c r="AC9" s="82"/>
      <c r="AD9" s="82"/>
      <c r="AE9" s="82"/>
      <c r="AF9" s="82"/>
      <c r="AG9" s="82"/>
      <c r="AH9" s="82"/>
      <c r="AI9" s="82"/>
      <c r="AJ9" s="82"/>
      <c r="AK9" s="82"/>
      <c r="AL9" s="82"/>
      <c r="AM9" s="82"/>
      <c r="AN9" s="82"/>
      <c r="AO9" s="82"/>
      <c r="AP9" s="82"/>
      <c r="AQ9" s="82"/>
      <c r="AR9" s="82"/>
      <c r="AS9" s="82"/>
      <c r="AT9" s="82"/>
      <c r="AU9" s="82"/>
      <c r="AV9" s="82"/>
      <c r="AW9" s="82"/>
      <c r="AX9" s="82"/>
      <c r="AY9" s="82"/>
      <c r="AZ9" s="82"/>
      <c r="BA9" s="82"/>
      <c r="BB9" s="82"/>
      <c r="BC9" s="82"/>
      <c r="BD9" s="82"/>
      <c r="BE9" s="82"/>
      <c r="BF9" s="82"/>
      <c r="BG9" s="82"/>
      <c r="BH9" s="82"/>
      <c r="BI9" s="82"/>
      <c r="BJ9" s="82"/>
      <c r="BK9" s="82"/>
      <c r="BL9" s="82"/>
    </row>
    <row r="10" spans="1:64" s="9" customFormat="1" ht="30" x14ac:dyDescent="0.25">
      <c r="A10" s="69" t="s">
        <v>225</v>
      </c>
      <c r="B10" s="69" t="s">
        <v>224</v>
      </c>
      <c r="C10" s="69" t="s">
        <v>224</v>
      </c>
      <c r="D10" s="70" t="s">
        <v>224</v>
      </c>
      <c r="E10" s="72" t="s">
        <v>283</v>
      </c>
      <c r="F10" s="853"/>
      <c r="G10" s="1287" t="s">
        <v>1534</v>
      </c>
      <c r="H10" s="76" t="s">
        <v>297</v>
      </c>
      <c r="I10" s="960">
        <v>5</v>
      </c>
      <c r="J10" s="960"/>
      <c r="K10" s="960"/>
      <c r="L10" s="960"/>
      <c r="M10" s="960">
        <v>5</v>
      </c>
      <c r="N10" s="855" t="s">
        <v>294</v>
      </c>
      <c r="O10" s="1290" t="s">
        <v>1534</v>
      </c>
      <c r="P10" s="82"/>
      <c r="Q10" s="82"/>
      <c r="R10" s="82"/>
      <c r="S10" s="82"/>
      <c r="T10" s="82"/>
      <c r="U10" s="82"/>
      <c r="V10" s="82"/>
      <c r="W10" s="82"/>
      <c r="X10" s="82"/>
      <c r="Y10" s="82"/>
      <c r="Z10" s="82"/>
      <c r="AA10" s="82"/>
      <c r="AB10" s="82"/>
      <c r="AC10" s="82"/>
      <c r="AD10" s="82"/>
      <c r="AE10" s="82"/>
      <c r="AF10" s="82"/>
      <c r="AG10" s="82"/>
      <c r="AH10" s="82"/>
      <c r="AI10" s="82"/>
      <c r="AJ10" s="82"/>
      <c r="AK10" s="82"/>
      <c r="AL10" s="82"/>
      <c r="AM10" s="82"/>
      <c r="AN10" s="82"/>
      <c r="AO10" s="82"/>
      <c r="AP10" s="82"/>
      <c r="AQ10" s="82"/>
      <c r="AR10" s="82"/>
      <c r="AS10" s="82"/>
      <c r="AT10" s="82"/>
      <c r="AU10" s="82"/>
      <c r="AV10" s="82"/>
      <c r="AW10" s="82"/>
      <c r="AX10" s="82"/>
      <c r="AY10" s="82"/>
      <c r="AZ10" s="82"/>
      <c r="BA10" s="82"/>
      <c r="BB10" s="82"/>
      <c r="BC10" s="82"/>
      <c r="BD10" s="82"/>
      <c r="BE10" s="82"/>
      <c r="BF10" s="82"/>
      <c r="BG10" s="82"/>
      <c r="BH10" s="82"/>
      <c r="BI10" s="82"/>
      <c r="BJ10" s="82"/>
      <c r="BK10" s="82"/>
      <c r="BL10" s="82"/>
    </row>
    <row r="11" spans="1:64" s="9" customFormat="1" ht="30" x14ac:dyDescent="0.25">
      <c r="A11" s="69" t="s">
        <v>226</v>
      </c>
      <c r="B11" s="69" t="s">
        <v>224</v>
      </c>
      <c r="C11" s="69" t="s">
        <v>224</v>
      </c>
      <c r="D11" s="70" t="s">
        <v>224</v>
      </c>
      <c r="E11" s="850" t="s">
        <v>282</v>
      </c>
      <c r="F11" s="853"/>
      <c r="G11" s="1287" t="s">
        <v>1534</v>
      </c>
      <c r="H11" s="76" t="s">
        <v>298</v>
      </c>
      <c r="I11" s="960">
        <v>10</v>
      </c>
      <c r="J11" s="960">
        <v>200</v>
      </c>
      <c r="K11" s="960"/>
      <c r="L11" s="960">
        <v>50</v>
      </c>
      <c r="M11" s="960">
        <v>8</v>
      </c>
      <c r="N11" s="855" t="s">
        <v>294</v>
      </c>
      <c r="O11" s="1290" t="s">
        <v>1534</v>
      </c>
      <c r="P11" s="82"/>
      <c r="Q11" s="82"/>
      <c r="R11" s="82"/>
      <c r="S11" s="82"/>
      <c r="T11" s="82"/>
      <c r="U11" s="82"/>
      <c r="V11" s="82"/>
      <c r="W11" s="82"/>
      <c r="X11" s="82"/>
      <c r="Y11" s="82"/>
      <c r="Z11" s="82"/>
      <c r="AA11" s="82"/>
      <c r="AB11" s="82"/>
      <c r="AC11" s="82"/>
      <c r="AD11" s="82"/>
      <c r="AE11" s="82"/>
      <c r="AF11" s="82"/>
      <c r="AG11" s="82"/>
      <c r="AH11" s="82"/>
      <c r="AI11" s="82"/>
      <c r="AJ11" s="82"/>
      <c r="AK11" s="82"/>
      <c r="AL11" s="82"/>
      <c r="AM11" s="82"/>
      <c r="AN11" s="82"/>
      <c r="AO11" s="82"/>
      <c r="AP11" s="82"/>
      <c r="AQ11" s="82"/>
      <c r="AR11" s="82"/>
      <c r="AS11" s="82"/>
      <c r="AT11" s="82"/>
      <c r="AU11" s="82"/>
      <c r="AV11" s="82"/>
      <c r="AW11" s="82"/>
      <c r="AX11" s="82"/>
      <c r="AY11" s="82"/>
      <c r="AZ11" s="82"/>
      <c r="BA11" s="82"/>
      <c r="BB11" s="82"/>
      <c r="BC11" s="82"/>
      <c r="BD11" s="82"/>
      <c r="BE11" s="82"/>
      <c r="BF11" s="82"/>
      <c r="BG11" s="82"/>
      <c r="BH11" s="82"/>
      <c r="BI11" s="82"/>
      <c r="BJ11" s="82"/>
      <c r="BK11" s="82"/>
      <c r="BL11" s="82"/>
    </row>
    <row r="12" spans="1:64" s="9" customFormat="1" ht="60" x14ac:dyDescent="0.25">
      <c r="A12" s="69" t="s">
        <v>227</v>
      </c>
      <c r="B12" s="69" t="s">
        <v>224</v>
      </c>
      <c r="C12" s="69" t="s">
        <v>237</v>
      </c>
      <c r="D12" s="70" t="s">
        <v>237</v>
      </c>
      <c r="E12" s="850"/>
      <c r="F12" s="853"/>
      <c r="G12" s="1287" t="s">
        <v>1534</v>
      </c>
      <c r="H12" s="76" t="s">
        <v>299</v>
      </c>
      <c r="I12" s="960">
        <v>700</v>
      </c>
      <c r="J12" s="960"/>
      <c r="K12" s="960"/>
      <c r="L12" s="960">
        <v>1000</v>
      </c>
      <c r="M12" s="960">
        <v>20</v>
      </c>
      <c r="N12" s="855" t="s">
        <v>294</v>
      </c>
      <c r="O12" s="1290" t="s">
        <v>1534</v>
      </c>
      <c r="P12" s="82"/>
      <c r="Q12" s="82"/>
      <c r="R12" s="82"/>
      <c r="S12" s="82"/>
      <c r="T12" s="82"/>
      <c r="U12" s="82"/>
      <c r="V12" s="82"/>
      <c r="W12" s="82"/>
      <c r="X12" s="82"/>
      <c r="Y12" s="82"/>
      <c r="Z12" s="82"/>
      <c r="AA12" s="82"/>
      <c r="AB12" s="82"/>
      <c r="AC12" s="82"/>
      <c r="AD12" s="82"/>
      <c r="AE12" s="82"/>
      <c r="AF12" s="82"/>
      <c r="AG12" s="82"/>
      <c r="AH12" s="82"/>
      <c r="AI12" s="82"/>
      <c r="AJ12" s="82"/>
      <c r="AK12" s="82"/>
      <c r="AL12" s="82"/>
      <c r="AM12" s="82"/>
      <c r="AN12" s="82"/>
      <c r="AO12" s="82"/>
      <c r="AP12" s="82"/>
      <c r="AQ12" s="82"/>
      <c r="AR12" s="82"/>
      <c r="AS12" s="82"/>
      <c r="AT12" s="82"/>
      <c r="AU12" s="82"/>
      <c r="AV12" s="82"/>
      <c r="AW12" s="82"/>
      <c r="AX12" s="82"/>
      <c r="AY12" s="82"/>
      <c r="AZ12" s="82"/>
      <c r="BA12" s="82"/>
      <c r="BB12" s="82"/>
      <c r="BC12" s="82"/>
      <c r="BD12" s="82"/>
      <c r="BE12" s="82"/>
      <c r="BF12" s="82"/>
      <c r="BG12" s="82"/>
      <c r="BH12" s="82"/>
      <c r="BI12" s="82"/>
      <c r="BJ12" s="82"/>
      <c r="BK12" s="82"/>
      <c r="BL12" s="82"/>
    </row>
    <row r="13" spans="1:64" s="9" customFormat="1" x14ac:dyDescent="0.25">
      <c r="A13" s="69" t="s">
        <v>228</v>
      </c>
      <c r="B13" s="69" t="s">
        <v>224</v>
      </c>
      <c r="C13" s="69" t="s">
        <v>224</v>
      </c>
      <c r="D13" s="70" t="s">
        <v>224</v>
      </c>
      <c r="E13" s="850"/>
      <c r="F13" s="853"/>
      <c r="G13" s="1287" t="s">
        <v>1534</v>
      </c>
      <c r="H13" s="76" t="s">
        <v>311</v>
      </c>
      <c r="I13" s="960">
        <v>4</v>
      </c>
      <c r="J13" s="960">
        <v>100</v>
      </c>
      <c r="K13" s="960">
        <v>100</v>
      </c>
      <c r="L13" s="960"/>
      <c r="M13" s="960">
        <v>4</v>
      </c>
      <c r="N13" s="855" t="s">
        <v>294</v>
      </c>
      <c r="O13" s="1290" t="s">
        <v>1534</v>
      </c>
      <c r="P13" s="82"/>
      <c r="Q13" s="82"/>
      <c r="R13" s="82"/>
      <c r="S13" s="82"/>
      <c r="T13" s="82"/>
      <c r="U13" s="82"/>
      <c r="V13" s="82"/>
      <c r="W13" s="82"/>
      <c r="X13" s="82"/>
      <c r="Y13" s="82"/>
      <c r="Z13" s="82"/>
      <c r="AA13" s="82"/>
      <c r="AB13" s="82"/>
      <c r="AC13" s="82"/>
      <c r="AD13" s="82"/>
      <c r="AE13" s="82"/>
      <c r="AF13" s="82"/>
      <c r="AG13" s="82"/>
      <c r="AH13" s="82"/>
      <c r="AI13" s="82"/>
      <c r="AJ13" s="82"/>
      <c r="AK13" s="82"/>
      <c r="AL13" s="82"/>
      <c r="AM13" s="82"/>
      <c r="AN13" s="82"/>
      <c r="AO13" s="82"/>
      <c r="AP13" s="82"/>
      <c r="AQ13" s="82"/>
      <c r="AR13" s="82"/>
      <c r="AS13" s="82"/>
      <c r="AT13" s="82"/>
      <c r="AU13" s="82"/>
      <c r="AV13" s="82"/>
      <c r="AW13" s="82"/>
      <c r="AX13" s="82"/>
      <c r="AY13" s="82"/>
      <c r="AZ13" s="82"/>
      <c r="BA13" s="82"/>
      <c r="BB13" s="82"/>
      <c r="BC13" s="82"/>
      <c r="BD13" s="82"/>
      <c r="BE13" s="82"/>
      <c r="BF13" s="82"/>
      <c r="BG13" s="82"/>
      <c r="BH13" s="82"/>
      <c r="BI13" s="82"/>
      <c r="BJ13" s="82"/>
      <c r="BK13" s="82"/>
      <c r="BL13" s="82"/>
    </row>
    <row r="14" spans="1:64" ht="33" customHeight="1" x14ac:dyDescent="0.25">
      <c r="A14" s="73" t="s">
        <v>39</v>
      </c>
      <c r="B14" s="73" t="s">
        <v>240</v>
      </c>
      <c r="C14" s="73" t="s">
        <v>376</v>
      </c>
      <c r="D14" s="74" t="s">
        <v>241</v>
      </c>
      <c r="E14" s="851"/>
      <c r="F14" s="854" t="s">
        <v>1391</v>
      </c>
      <c r="G14" s="1285" t="s">
        <v>1534</v>
      </c>
      <c r="H14" s="76" t="s">
        <v>312</v>
      </c>
      <c r="I14" s="960" t="s">
        <v>313</v>
      </c>
      <c r="J14" s="1053">
        <v>5000</v>
      </c>
      <c r="K14" s="960" t="s">
        <v>314</v>
      </c>
      <c r="L14" s="1053">
        <v>1000</v>
      </c>
      <c r="M14" s="960">
        <v>200</v>
      </c>
      <c r="N14" s="855" t="s">
        <v>294</v>
      </c>
      <c r="O14" s="1290" t="s">
        <v>1534</v>
      </c>
    </row>
    <row r="15" spans="1:64" ht="16.5" x14ac:dyDescent="0.25">
      <c r="A15" s="73" t="s">
        <v>229</v>
      </c>
      <c r="B15" s="73" t="s">
        <v>520</v>
      </c>
      <c r="C15" s="73" t="s">
        <v>521</v>
      </c>
      <c r="D15" s="74" t="s">
        <v>522</v>
      </c>
      <c r="E15" s="851"/>
      <c r="F15" s="592" t="s">
        <v>1300</v>
      </c>
      <c r="G15" s="1285" t="s">
        <v>1534</v>
      </c>
      <c r="H15" s="76" t="s">
        <v>300</v>
      </c>
      <c r="I15" s="960">
        <v>5</v>
      </c>
      <c r="J15" s="960">
        <v>50</v>
      </c>
      <c r="K15" s="960">
        <v>10</v>
      </c>
      <c r="L15" s="960">
        <v>5</v>
      </c>
      <c r="M15" s="960">
        <v>5</v>
      </c>
      <c r="N15" s="855" t="s">
        <v>294</v>
      </c>
      <c r="O15" s="1290" t="s">
        <v>1534</v>
      </c>
    </row>
    <row r="16" spans="1:64" s="6" customFormat="1" ht="16.5" x14ac:dyDescent="0.3">
      <c r="A16" s="73" t="s">
        <v>43</v>
      </c>
      <c r="B16" s="73" t="s">
        <v>523</v>
      </c>
      <c r="C16" s="73" t="s">
        <v>524</v>
      </c>
      <c r="D16" s="74" t="s">
        <v>525</v>
      </c>
      <c r="E16" s="851" t="s">
        <v>526</v>
      </c>
      <c r="F16" s="592" t="s">
        <v>1300</v>
      </c>
      <c r="G16" s="1285" t="s">
        <v>1535</v>
      </c>
      <c r="H16" s="76" t="s">
        <v>315</v>
      </c>
      <c r="I16" s="960">
        <v>10</v>
      </c>
      <c r="J16" s="960">
        <v>100</v>
      </c>
      <c r="K16" s="1053">
        <v>5000</v>
      </c>
      <c r="L16" s="960">
        <v>50</v>
      </c>
      <c r="M16" s="960">
        <v>10</v>
      </c>
      <c r="N16" s="855" t="s">
        <v>294</v>
      </c>
      <c r="O16" s="1290" t="s">
        <v>1534</v>
      </c>
      <c r="P16" s="19"/>
      <c r="Q16" s="19"/>
      <c r="R16" s="19"/>
      <c r="S16" s="19"/>
      <c r="T16" s="19"/>
      <c r="U16" s="19"/>
      <c r="V16" s="19"/>
      <c r="W16" s="19"/>
      <c r="X16" s="19"/>
      <c r="Y16" s="19"/>
      <c r="Z16" s="19"/>
      <c r="AA16" s="19"/>
      <c r="AB16" s="19"/>
      <c r="AC16" s="19"/>
      <c r="AD16" s="19"/>
      <c r="AE16" s="19"/>
      <c r="AF16" s="19"/>
      <c r="AG16" s="19"/>
      <c r="AH16" s="19"/>
      <c r="AI16" s="19"/>
      <c r="AJ16" s="19"/>
      <c r="AK16" s="19"/>
      <c r="AL16" s="19"/>
      <c r="AM16" s="19"/>
      <c r="AN16" s="19"/>
      <c r="AO16" s="19"/>
      <c r="AP16" s="19"/>
      <c r="AQ16" s="19"/>
      <c r="AR16" s="19"/>
      <c r="AS16" s="19"/>
      <c r="AT16" s="19"/>
      <c r="AU16" s="19"/>
      <c r="AV16" s="19"/>
      <c r="AW16" s="19"/>
      <c r="AX16" s="19"/>
      <c r="AY16" s="19"/>
      <c r="AZ16" s="19"/>
      <c r="BA16" s="19"/>
      <c r="BB16" s="19"/>
      <c r="BC16" s="19"/>
      <c r="BD16" s="19"/>
      <c r="BE16" s="19"/>
      <c r="BF16" s="19"/>
      <c r="BG16" s="19"/>
      <c r="BH16" s="19"/>
      <c r="BI16" s="19"/>
      <c r="BJ16" s="19"/>
      <c r="BK16" s="19"/>
      <c r="BL16" s="19"/>
    </row>
    <row r="17" spans="1:64" x14ac:dyDescent="0.25">
      <c r="A17" s="73" t="s">
        <v>40</v>
      </c>
      <c r="B17" s="73" t="s">
        <v>1394</v>
      </c>
      <c r="C17" s="73" t="s">
        <v>233</v>
      </c>
      <c r="D17" s="74" t="s">
        <v>233</v>
      </c>
      <c r="E17" s="851"/>
      <c r="F17" s="592" t="s">
        <v>1299</v>
      </c>
      <c r="G17" s="1285" t="s">
        <v>1534</v>
      </c>
      <c r="H17" s="76" t="s">
        <v>301</v>
      </c>
      <c r="I17" s="960">
        <v>70</v>
      </c>
      <c r="J17" s="960"/>
      <c r="K17" s="960"/>
      <c r="L17" s="960">
        <v>100</v>
      </c>
      <c r="M17" s="960">
        <v>50</v>
      </c>
      <c r="N17" s="855" t="s">
        <v>294</v>
      </c>
      <c r="O17" s="1290" t="s">
        <v>1534</v>
      </c>
    </row>
    <row r="18" spans="1:64" s="6" customFormat="1" ht="30" x14ac:dyDescent="0.25">
      <c r="A18" s="73" t="s">
        <v>230</v>
      </c>
      <c r="B18" s="73" t="s">
        <v>231</v>
      </c>
      <c r="C18" s="73" t="s">
        <v>232</v>
      </c>
      <c r="D18" s="74" t="s">
        <v>232</v>
      </c>
      <c r="E18" s="851"/>
      <c r="F18" s="592" t="s">
        <v>1301</v>
      </c>
      <c r="G18" s="1285" t="s">
        <v>1534</v>
      </c>
      <c r="H18" s="76" t="s">
        <v>302</v>
      </c>
      <c r="I18" s="960" t="s">
        <v>303</v>
      </c>
      <c r="J18" s="960"/>
      <c r="K18" s="960" t="s">
        <v>304</v>
      </c>
      <c r="L18" s="1053">
        <v>400000</v>
      </c>
      <c r="M18" s="960">
        <v>2000</v>
      </c>
      <c r="N18" s="855" t="s">
        <v>294</v>
      </c>
      <c r="O18" s="1290" t="s">
        <v>1534</v>
      </c>
      <c r="P18" s="19"/>
      <c r="Q18" s="19"/>
      <c r="R18" s="19"/>
      <c r="S18" s="19"/>
      <c r="T18" s="19"/>
      <c r="U18" s="19"/>
      <c r="V18" s="19"/>
      <c r="W18" s="19"/>
      <c r="X18" s="19"/>
      <c r="Y18" s="19"/>
      <c r="Z18" s="19"/>
      <c r="AA18" s="19"/>
      <c r="AB18" s="19"/>
      <c r="AC18" s="19"/>
      <c r="AD18" s="19"/>
      <c r="AE18" s="19"/>
      <c r="AF18" s="19"/>
      <c r="AG18" s="19"/>
      <c r="AH18" s="19"/>
      <c r="AI18" s="19"/>
      <c r="AJ18" s="19"/>
      <c r="AK18" s="19"/>
      <c r="AL18" s="19"/>
      <c r="AM18" s="19"/>
      <c r="AN18" s="19"/>
      <c r="AO18" s="19"/>
      <c r="AP18" s="19"/>
      <c r="AQ18" s="19"/>
      <c r="AR18" s="19"/>
      <c r="AS18" s="19"/>
      <c r="AT18" s="19"/>
      <c r="AU18" s="19"/>
      <c r="AV18" s="19"/>
      <c r="AW18" s="19"/>
      <c r="AX18" s="19"/>
      <c r="AY18" s="19"/>
      <c r="AZ18" s="19"/>
      <c r="BA18" s="19"/>
      <c r="BB18" s="19"/>
      <c r="BC18" s="19"/>
      <c r="BD18" s="19"/>
      <c r="BE18" s="19"/>
      <c r="BF18" s="19"/>
      <c r="BG18" s="19"/>
      <c r="BH18" s="19"/>
      <c r="BI18" s="19"/>
      <c r="BJ18" s="19"/>
      <c r="BK18" s="19"/>
      <c r="BL18" s="19"/>
    </row>
    <row r="19" spans="1:64" x14ac:dyDescent="0.25">
      <c r="A19" s="73" t="s">
        <v>41</v>
      </c>
      <c r="B19" s="73" t="s">
        <v>42</v>
      </c>
      <c r="C19" s="73" t="s">
        <v>42</v>
      </c>
      <c r="D19" s="74" t="s">
        <v>42</v>
      </c>
      <c r="E19" s="852" t="s">
        <v>42</v>
      </c>
      <c r="F19" s="592"/>
      <c r="H19" s="76" t="s">
        <v>305</v>
      </c>
      <c r="I19" s="960"/>
      <c r="J19" s="960">
        <v>1000</v>
      </c>
      <c r="K19" s="960">
        <v>50</v>
      </c>
      <c r="L19" s="960"/>
      <c r="M19" s="960">
        <v>10</v>
      </c>
      <c r="N19" s="855" t="s">
        <v>294</v>
      </c>
      <c r="O19" s="1290" t="s">
        <v>1534</v>
      </c>
    </row>
    <row r="20" spans="1:64" s="6" customFormat="1" x14ac:dyDescent="0.25">
      <c r="A20" s="1051"/>
      <c r="B20" s="1654" t="s">
        <v>29</v>
      </c>
      <c r="C20" s="1655"/>
      <c r="D20" s="1655"/>
      <c r="E20" s="1655"/>
      <c r="F20" s="1656"/>
      <c r="G20" s="1285"/>
      <c r="H20" s="76" t="s">
        <v>316</v>
      </c>
      <c r="I20" s="1053">
        <v>2000</v>
      </c>
      <c r="J20" s="960">
        <v>500</v>
      </c>
      <c r="K20" s="960">
        <v>200</v>
      </c>
      <c r="L20" s="1053">
        <v>1000</v>
      </c>
      <c r="M20" s="960">
        <v>50</v>
      </c>
      <c r="N20" s="855" t="s">
        <v>294</v>
      </c>
      <c r="O20" s="1290" t="s">
        <v>1534</v>
      </c>
      <c r="P20" s="19"/>
      <c r="Q20" s="19"/>
      <c r="R20" s="19"/>
      <c r="S20" s="19"/>
      <c r="T20" s="19"/>
      <c r="U20" s="19"/>
      <c r="V20" s="19"/>
      <c r="W20" s="19"/>
      <c r="X20" s="19"/>
      <c r="Y20" s="19"/>
      <c r="Z20" s="19"/>
      <c r="AA20" s="19"/>
      <c r="AB20" s="19"/>
      <c r="AC20" s="19"/>
      <c r="AD20" s="19"/>
      <c r="AE20" s="19"/>
      <c r="AF20" s="19"/>
      <c r="AG20" s="19"/>
      <c r="AH20" s="19"/>
      <c r="AI20" s="19"/>
      <c r="AJ20" s="19"/>
      <c r="AK20" s="19"/>
      <c r="AL20" s="19"/>
      <c r="AM20" s="19"/>
      <c r="AN20" s="19"/>
      <c r="AO20" s="19"/>
      <c r="AP20" s="19"/>
      <c r="AQ20" s="19"/>
      <c r="AR20" s="19"/>
      <c r="AS20" s="19"/>
      <c r="AT20" s="19"/>
      <c r="AU20" s="19"/>
      <c r="AV20" s="19"/>
      <c r="AW20" s="19"/>
      <c r="AX20" s="19"/>
      <c r="AY20" s="19"/>
      <c r="AZ20" s="19"/>
      <c r="BA20" s="19"/>
      <c r="BB20" s="19"/>
      <c r="BC20" s="19"/>
      <c r="BD20" s="19"/>
      <c r="BE20" s="19"/>
      <c r="BF20" s="19"/>
      <c r="BG20" s="19"/>
      <c r="BH20" s="19"/>
      <c r="BI20" s="19"/>
      <c r="BJ20" s="19"/>
      <c r="BK20" s="19"/>
      <c r="BL20" s="19"/>
    </row>
    <row r="21" spans="1:64" x14ac:dyDescent="0.25">
      <c r="A21" s="73" t="s">
        <v>527</v>
      </c>
      <c r="B21" s="73" t="s">
        <v>44</v>
      </c>
      <c r="C21" s="73" t="s">
        <v>234</v>
      </c>
      <c r="D21" s="74" t="s">
        <v>242</v>
      </c>
      <c r="E21" s="75"/>
      <c r="F21" s="592" t="s">
        <v>1302</v>
      </c>
      <c r="G21" s="1285" t="s">
        <v>1534</v>
      </c>
      <c r="H21" s="76" t="s">
        <v>286</v>
      </c>
      <c r="I21" s="960">
        <v>50</v>
      </c>
      <c r="J21" s="1053">
        <v>1000</v>
      </c>
      <c r="K21" s="960">
        <v>100</v>
      </c>
      <c r="L21" s="960">
        <v>50</v>
      </c>
      <c r="M21" s="960">
        <v>10</v>
      </c>
      <c r="N21" s="855" t="s">
        <v>294</v>
      </c>
      <c r="O21" s="1290" t="s">
        <v>1534</v>
      </c>
    </row>
    <row r="22" spans="1:64" ht="62.25" x14ac:dyDescent="0.25">
      <c r="A22" s="73" t="s">
        <v>45</v>
      </c>
      <c r="B22" s="73" t="s">
        <v>528</v>
      </c>
      <c r="C22" s="73" t="s">
        <v>529</v>
      </c>
      <c r="D22" s="74" t="s">
        <v>530</v>
      </c>
      <c r="E22" s="75"/>
      <c r="F22" s="1044" t="s">
        <v>1420</v>
      </c>
      <c r="G22" s="1285" t="s">
        <v>1534</v>
      </c>
      <c r="H22" s="76" t="s">
        <v>317</v>
      </c>
      <c r="I22" s="960" t="s">
        <v>318</v>
      </c>
      <c r="J22" s="960"/>
      <c r="K22" s="1053">
        <v>5000</v>
      </c>
      <c r="L22" s="960">
        <v>300</v>
      </c>
      <c r="M22" s="960">
        <v>100</v>
      </c>
      <c r="N22" s="855" t="s">
        <v>294</v>
      </c>
      <c r="O22" s="1290" t="s">
        <v>1534</v>
      </c>
    </row>
    <row r="23" spans="1:64" x14ac:dyDescent="0.25">
      <c r="A23" s="73" t="s">
        <v>46</v>
      </c>
      <c r="B23" s="73" t="s">
        <v>47</v>
      </c>
      <c r="C23" s="73" t="s">
        <v>47</v>
      </c>
      <c r="D23" s="74" t="s">
        <v>47</v>
      </c>
      <c r="E23" s="75"/>
      <c r="F23" s="592" t="s">
        <v>1303</v>
      </c>
      <c r="G23" s="1285" t="s">
        <v>1534</v>
      </c>
      <c r="H23" s="76" t="s">
        <v>319</v>
      </c>
      <c r="I23" s="1053">
        <v>1500</v>
      </c>
      <c r="J23" s="1053">
        <v>2000</v>
      </c>
      <c r="K23" s="1053">
        <v>1000</v>
      </c>
      <c r="L23" s="960"/>
      <c r="M23" s="960">
        <v>500</v>
      </c>
      <c r="N23" s="855" t="s">
        <v>294</v>
      </c>
      <c r="O23" s="1290" t="s">
        <v>1534</v>
      </c>
    </row>
    <row r="24" spans="1:64" s="6" customFormat="1" x14ac:dyDescent="0.25">
      <c r="A24" s="79"/>
      <c r="B24" s="1654" t="s">
        <v>116</v>
      </c>
      <c r="C24" s="1655"/>
      <c r="D24" s="1655"/>
      <c r="E24" s="1655"/>
      <c r="F24" s="1656"/>
      <c r="G24" s="1285"/>
      <c r="H24" s="76" t="s">
        <v>320</v>
      </c>
      <c r="I24" s="960"/>
      <c r="J24" s="960"/>
      <c r="K24" s="1053">
        <v>2500</v>
      </c>
      <c r="L24" s="960"/>
      <c r="M24" s="960">
        <v>100</v>
      </c>
      <c r="N24" s="855" t="s">
        <v>294</v>
      </c>
      <c r="O24" s="1290" t="s">
        <v>1534</v>
      </c>
      <c r="P24" s="19"/>
      <c r="Q24" s="19"/>
      <c r="R24" s="19"/>
      <c r="S24" s="19"/>
      <c r="T24" s="19"/>
      <c r="U24" s="19"/>
      <c r="V24" s="19"/>
      <c r="W24" s="19"/>
      <c r="X24" s="19"/>
      <c r="Y24" s="19"/>
      <c r="Z24" s="19"/>
      <c r="AA24" s="19"/>
      <c r="AB24" s="19"/>
      <c r="AC24" s="19"/>
      <c r="AD24" s="19"/>
      <c r="AE24" s="19"/>
      <c r="AF24" s="19"/>
      <c r="AG24" s="19"/>
      <c r="AH24" s="19"/>
      <c r="AI24" s="19"/>
      <c r="AJ24" s="19"/>
      <c r="AK24" s="19"/>
      <c r="AL24" s="19"/>
      <c r="AM24" s="19"/>
      <c r="AN24" s="19"/>
      <c r="AO24" s="19"/>
      <c r="AP24" s="19"/>
      <c r="AQ24" s="19"/>
      <c r="AR24" s="19"/>
      <c r="AS24" s="19"/>
      <c r="AT24" s="19"/>
      <c r="AU24" s="19"/>
      <c r="AV24" s="19"/>
      <c r="AW24" s="19"/>
      <c r="AX24" s="19"/>
      <c r="AY24" s="19"/>
      <c r="AZ24" s="19"/>
      <c r="BA24" s="19"/>
      <c r="BB24" s="19"/>
      <c r="BC24" s="19"/>
      <c r="BD24" s="19"/>
      <c r="BE24" s="19"/>
      <c r="BF24" s="19"/>
      <c r="BG24" s="19"/>
      <c r="BH24" s="19"/>
      <c r="BI24" s="19"/>
      <c r="BJ24" s="19"/>
      <c r="BK24" s="19"/>
      <c r="BL24" s="19"/>
    </row>
    <row r="25" spans="1:64" x14ac:dyDescent="0.25">
      <c r="A25" s="73" t="s">
        <v>50</v>
      </c>
      <c r="B25" s="73" t="s">
        <v>51</v>
      </c>
      <c r="C25" s="73" t="s">
        <v>51</v>
      </c>
      <c r="D25" s="74" t="s">
        <v>243</v>
      </c>
      <c r="E25" s="75"/>
      <c r="F25" s="592" t="s">
        <v>1304</v>
      </c>
      <c r="G25" s="1285" t="s">
        <v>1534</v>
      </c>
      <c r="H25" s="76" t="s">
        <v>321</v>
      </c>
      <c r="I25" s="960" t="s">
        <v>322</v>
      </c>
      <c r="J25" s="960">
        <v>50</v>
      </c>
      <c r="K25" s="960">
        <v>200</v>
      </c>
      <c r="L25" s="960">
        <v>100</v>
      </c>
      <c r="M25" s="960">
        <v>25</v>
      </c>
      <c r="N25" s="855" t="s">
        <v>294</v>
      </c>
      <c r="O25" s="1290" t="s">
        <v>1534</v>
      </c>
    </row>
    <row r="26" spans="1:64" x14ac:dyDescent="0.25">
      <c r="A26" s="73" t="s">
        <v>52</v>
      </c>
      <c r="B26" s="73" t="s">
        <v>53</v>
      </c>
      <c r="C26" s="73" t="s">
        <v>53</v>
      </c>
      <c r="D26" s="73"/>
      <c r="E26" s="75"/>
      <c r="F26" s="592" t="s">
        <v>1305</v>
      </c>
      <c r="G26" s="1285" t="s">
        <v>1534</v>
      </c>
      <c r="H26" s="76" t="s">
        <v>323</v>
      </c>
      <c r="I26" s="960">
        <v>1</v>
      </c>
      <c r="J26" s="960">
        <v>10</v>
      </c>
      <c r="K26" s="960">
        <v>2</v>
      </c>
      <c r="L26" s="960">
        <v>1</v>
      </c>
      <c r="M26" s="960">
        <v>1</v>
      </c>
      <c r="N26" s="855" t="s">
        <v>294</v>
      </c>
      <c r="O26" s="1290" t="s">
        <v>1534</v>
      </c>
    </row>
    <row r="27" spans="1:64" x14ac:dyDescent="0.25">
      <c r="A27" s="73" t="s">
        <v>54</v>
      </c>
      <c r="B27" s="73" t="s">
        <v>55</v>
      </c>
      <c r="C27" s="73" t="s">
        <v>55</v>
      </c>
      <c r="D27" s="73" t="s">
        <v>244</v>
      </c>
      <c r="E27" s="75"/>
      <c r="F27" s="592" t="s">
        <v>1305</v>
      </c>
      <c r="G27" s="1285" t="s">
        <v>1534</v>
      </c>
      <c r="H27" s="76" t="s">
        <v>324</v>
      </c>
      <c r="I27" s="960">
        <v>70</v>
      </c>
      <c r="J27" s="960">
        <v>150</v>
      </c>
      <c r="K27" s="960">
        <v>10</v>
      </c>
      <c r="L27" s="960"/>
      <c r="M27" s="960">
        <v>10</v>
      </c>
      <c r="N27" s="855" t="s">
        <v>294</v>
      </c>
      <c r="O27" s="1290" t="s">
        <v>1534</v>
      </c>
    </row>
    <row r="28" spans="1:64" x14ac:dyDescent="0.25">
      <c r="A28" s="73" t="s">
        <v>56</v>
      </c>
      <c r="B28" s="73" t="s">
        <v>57</v>
      </c>
      <c r="C28" s="73" t="s">
        <v>57</v>
      </c>
      <c r="D28" s="73" t="s">
        <v>245</v>
      </c>
      <c r="E28" s="75"/>
      <c r="F28" s="592" t="s">
        <v>1392</v>
      </c>
      <c r="G28" s="1285" t="s">
        <v>1534</v>
      </c>
      <c r="H28" s="76" t="s">
        <v>325</v>
      </c>
      <c r="I28" s="960" t="s">
        <v>373</v>
      </c>
      <c r="J28" s="1053">
        <v>1000</v>
      </c>
      <c r="K28" s="960">
        <v>200</v>
      </c>
      <c r="L28" s="960">
        <v>100</v>
      </c>
      <c r="M28" s="960">
        <v>10</v>
      </c>
      <c r="N28" s="855" t="s">
        <v>294</v>
      </c>
      <c r="O28" s="1290" t="s">
        <v>1534</v>
      </c>
    </row>
    <row r="29" spans="1:64" x14ac:dyDescent="0.25">
      <c r="A29" s="73" t="s">
        <v>58</v>
      </c>
      <c r="B29" s="73" t="s">
        <v>59</v>
      </c>
      <c r="C29" s="73" t="s">
        <v>59</v>
      </c>
      <c r="D29" s="73" t="s">
        <v>246</v>
      </c>
      <c r="E29" s="75"/>
      <c r="F29" s="592" t="s">
        <v>1421</v>
      </c>
      <c r="G29" s="1285" t="s">
        <v>1534</v>
      </c>
      <c r="H29" s="76" t="s">
        <v>306</v>
      </c>
      <c r="I29" s="1053">
        <v>10000</v>
      </c>
      <c r="J29" s="1053">
        <v>90000</v>
      </c>
      <c r="K29" s="960"/>
      <c r="L29" s="1053">
        <v>10000</v>
      </c>
      <c r="M29" s="960">
        <v>300</v>
      </c>
      <c r="N29" s="855" t="s">
        <v>294</v>
      </c>
      <c r="O29" s="1290" t="s">
        <v>1534</v>
      </c>
    </row>
    <row r="30" spans="1:64" x14ac:dyDescent="0.25">
      <c r="A30" s="73" t="s">
        <v>60</v>
      </c>
      <c r="B30" s="73" t="s">
        <v>61</v>
      </c>
      <c r="C30" s="73" t="s">
        <v>61</v>
      </c>
      <c r="D30" s="73" t="s">
        <v>247</v>
      </c>
      <c r="E30" s="75"/>
      <c r="F30" s="592" t="s">
        <v>1422</v>
      </c>
      <c r="G30" s="1285" t="s">
        <v>1534</v>
      </c>
      <c r="H30" s="76" t="s">
        <v>307</v>
      </c>
      <c r="I30" s="1053">
        <v>1000</v>
      </c>
      <c r="J30" s="1053">
        <v>10000</v>
      </c>
      <c r="K30" s="1053">
        <v>1000</v>
      </c>
      <c r="L30" s="1053">
        <v>1000</v>
      </c>
      <c r="M30" s="960">
        <v>20</v>
      </c>
      <c r="N30" s="855" t="s">
        <v>294</v>
      </c>
      <c r="O30" s="1290" t="s">
        <v>1534</v>
      </c>
    </row>
    <row r="31" spans="1:64" x14ac:dyDescent="0.25">
      <c r="A31" s="73" t="s">
        <v>62</v>
      </c>
      <c r="B31" s="73" t="s">
        <v>63</v>
      </c>
      <c r="C31" s="73" t="s">
        <v>63</v>
      </c>
      <c r="D31" s="73" t="s">
        <v>248</v>
      </c>
      <c r="E31" s="75"/>
      <c r="F31" s="592" t="s">
        <v>1423</v>
      </c>
      <c r="G31" s="1285" t="s">
        <v>1534</v>
      </c>
      <c r="H31" s="76" t="s">
        <v>326</v>
      </c>
      <c r="I31" s="960">
        <v>100</v>
      </c>
      <c r="J31" s="960"/>
      <c r="K31" s="960"/>
      <c r="L31" s="960">
        <v>50</v>
      </c>
      <c r="M31" s="960">
        <v>10</v>
      </c>
      <c r="N31" s="855" t="s">
        <v>294</v>
      </c>
      <c r="O31" s="1290" t="s">
        <v>1534</v>
      </c>
    </row>
    <row r="32" spans="1:64" x14ac:dyDescent="0.25">
      <c r="A32" s="73" t="s">
        <v>64</v>
      </c>
      <c r="B32" s="73" t="s">
        <v>65</v>
      </c>
      <c r="C32" s="73" t="s">
        <v>65</v>
      </c>
      <c r="D32" s="73" t="s">
        <v>249</v>
      </c>
      <c r="E32" s="75"/>
      <c r="F32" s="592" t="s">
        <v>1424</v>
      </c>
      <c r="G32" s="1285" t="s">
        <v>1534</v>
      </c>
      <c r="H32" s="76" t="s">
        <v>327</v>
      </c>
      <c r="I32" s="960">
        <v>10</v>
      </c>
      <c r="J32" s="960">
        <v>50</v>
      </c>
      <c r="K32" s="960">
        <v>20</v>
      </c>
      <c r="L32" s="960">
        <v>10</v>
      </c>
      <c r="M32" s="960">
        <v>10</v>
      </c>
      <c r="N32" s="855" t="s">
        <v>294</v>
      </c>
      <c r="O32" s="1290" t="s">
        <v>1534</v>
      </c>
    </row>
    <row r="33" spans="1:15" x14ac:dyDescent="0.25">
      <c r="A33" s="73" t="s">
        <v>66</v>
      </c>
      <c r="B33" s="73" t="s">
        <v>67</v>
      </c>
      <c r="C33" s="73" t="s">
        <v>67</v>
      </c>
      <c r="D33" s="73" t="s">
        <v>250</v>
      </c>
      <c r="E33" s="75"/>
      <c r="F33" s="592" t="s">
        <v>1425</v>
      </c>
      <c r="G33" s="1285" t="s">
        <v>1534</v>
      </c>
      <c r="H33" s="76" t="s">
        <v>328</v>
      </c>
      <c r="I33" s="960" t="s">
        <v>329</v>
      </c>
      <c r="J33" s="960"/>
      <c r="K33" s="960"/>
      <c r="L33" s="1053">
        <v>300000</v>
      </c>
      <c r="M33" s="960">
        <v>1000</v>
      </c>
      <c r="N33" s="855" t="s">
        <v>294</v>
      </c>
      <c r="O33" s="1290" t="s">
        <v>1534</v>
      </c>
    </row>
    <row r="34" spans="1:15" x14ac:dyDescent="0.25">
      <c r="A34" s="73" t="s">
        <v>68</v>
      </c>
      <c r="B34" s="73" t="s">
        <v>69</v>
      </c>
      <c r="C34" s="73" t="s">
        <v>69</v>
      </c>
      <c r="D34" s="73" t="s">
        <v>69</v>
      </c>
      <c r="E34" s="75"/>
      <c r="F34" s="592" t="s">
        <v>1311</v>
      </c>
      <c r="G34" s="1285" t="s">
        <v>1534</v>
      </c>
      <c r="H34" s="76" t="s">
        <v>308</v>
      </c>
      <c r="I34" s="960" t="s">
        <v>374</v>
      </c>
      <c r="J34" s="960"/>
      <c r="K34" s="960"/>
      <c r="L34" s="960"/>
      <c r="M34" s="1053">
        <v>2000</v>
      </c>
      <c r="N34" s="855" t="s">
        <v>294</v>
      </c>
      <c r="O34" s="1290" t="s">
        <v>1534</v>
      </c>
    </row>
    <row r="35" spans="1:15" x14ac:dyDescent="0.25">
      <c r="A35" s="73" t="s">
        <v>70</v>
      </c>
      <c r="B35" s="73" t="s">
        <v>238</v>
      </c>
      <c r="C35" s="73" t="s">
        <v>238</v>
      </c>
      <c r="D35" s="73"/>
      <c r="E35" s="75"/>
      <c r="F35" s="592" t="s">
        <v>1311</v>
      </c>
      <c r="G35" s="1285" t="s">
        <v>1534</v>
      </c>
      <c r="H35" s="76" t="s">
        <v>330</v>
      </c>
      <c r="I35" s="960" t="s">
        <v>331</v>
      </c>
      <c r="J35" s="1053">
        <v>1000000</v>
      </c>
      <c r="K35" s="960"/>
      <c r="L35" s="1053">
        <v>400000</v>
      </c>
      <c r="M35" s="1053">
        <v>5000</v>
      </c>
      <c r="N35" s="855" t="s">
        <v>294</v>
      </c>
      <c r="O35" s="1290" t="s">
        <v>1534</v>
      </c>
    </row>
    <row r="36" spans="1:15" x14ac:dyDescent="0.25">
      <c r="A36" s="73" t="s">
        <v>71</v>
      </c>
      <c r="B36" s="73" t="s">
        <v>239</v>
      </c>
      <c r="C36" s="73" t="s">
        <v>239</v>
      </c>
      <c r="D36" s="73" t="s">
        <v>251</v>
      </c>
      <c r="E36" s="75"/>
      <c r="F36" s="592" t="s">
        <v>1426</v>
      </c>
      <c r="G36" s="1285" t="s">
        <v>1534</v>
      </c>
      <c r="H36" s="76" t="s">
        <v>332</v>
      </c>
      <c r="I36" s="960" t="s">
        <v>333</v>
      </c>
      <c r="J36" s="960">
        <v>200</v>
      </c>
      <c r="K36" s="960" t="s">
        <v>334</v>
      </c>
      <c r="L36" s="960"/>
      <c r="M36" s="960"/>
      <c r="N36" s="855" t="s">
        <v>294</v>
      </c>
      <c r="O36" s="1290" t="s">
        <v>1534</v>
      </c>
    </row>
    <row r="37" spans="1:15" x14ac:dyDescent="0.25">
      <c r="A37" s="73" t="s">
        <v>72</v>
      </c>
      <c r="B37" s="73" t="s">
        <v>73</v>
      </c>
      <c r="C37" s="73" t="s">
        <v>73</v>
      </c>
      <c r="D37" s="73" t="s">
        <v>252</v>
      </c>
      <c r="E37" s="75"/>
      <c r="F37" s="592" t="s">
        <v>1427</v>
      </c>
      <c r="G37" s="1285" t="s">
        <v>1534</v>
      </c>
      <c r="H37" s="76" t="s">
        <v>309</v>
      </c>
      <c r="I37" s="960">
        <v>50</v>
      </c>
      <c r="J37" s="960"/>
      <c r="K37" s="960"/>
      <c r="L37" s="960"/>
      <c r="M37" s="960"/>
      <c r="N37" s="855" t="s">
        <v>294</v>
      </c>
      <c r="O37" s="1290" t="s">
        <v>1534</v>
      </c>
    </row>
    <row r="38" spans="1:15" x14ac:dyDescent="0.25">
      <c r="A38" s="73" t="s">
        <v>74</v>
      </c>
      <c r="B38" s="73" t="s">
        <v>75</v>
      </c>
      <c r="C38" s="73" t="s">
        <v>75</v>
      </c>
      <c r="D38" s="73" t="s">
        <v>75</v>
      </c>
      <c r="E38" s="75"/>
      <c r="F38" s="592" t="s">
        <v>1428</v>
      </c>
      <c r="G38" s="1285" t="s">
        <v>1534</v>
      </c>
      <c r="H38" s="76" t="s">
        <v>335</v>
      </c>
      <c r="I38" s="960">
        <v>50</v>
      </c>
      <c r="J38" s="960">
        <v>100</v>
      </c>
      <c r="K38" s="960">
        <v>100</v>
      </c>
      <c r="L38" s="960"/>
      <c r="M38" s="960">
        <v>20</v>
      </c>
      <c r="N38" s="855" t="s">
        <v>294</v>
      </c>
      <c r="O38" s="1290" t="s">
        <v>1534</v>
      </c>
    </row>
    <row r="39" spans="1:15" x14ac:dyDescent="0.25">
      <c r="A39" s="73" t="s">
        <v>76</v>
      </c>
      <c r="B39" s="73" t="s">
        <v>77</v>
      </c>
      <c r="C39" s="73" t="s">
        <v>77</v>
      </c>
      <c r="D39" s="73" t="s">
        <v>253</v>
      </c>
      <c r="E39" s="75"/>
      <c r="F39" s="592" t="s">
        <v>1429</v>
      </c>
      <c r="G39" s="1285" t="s">
        <v>1534</v>
      </c>
      <c r="H39" s="76" t="s">
        <v>336</v>
      </c>
      <c r="I39" s="960" t="s">
        <v>337</v>
      </c>
      <c r="J39" s="1053">
        <v>24000</v>
      </c>
      <c r="K39" s="1053">
        <v>2000</v>
      </c>
      <c r="L39" s="1053">
        <v>5000</v>
      </c>
      <c r="M39" s="960">
        <v>100</v>
      </c>
      <c r="N39" s="855" t="s">
        <v>294</v>
      </c>
      <c r="O39" s="1290" t="s">
        <v>1534</v>
      </c>
    </row>
    <row r="40" spans="1:15" x14ac:dyDescent="0.25">
      <c r="A40" s="73" t="s">
        <v>78</v>
      </c>
      <c r="B40" s="73" t="s">
        <v>79</v>
      </c>
      <c r="C40" s="73" t="s">
        <v>79</v>
      </c>
      <c r="D40" s="73" t="s">
        <v>79</v>
      </c>
      <c r="E40" s="75"/>
      <c r="F40" s="592" t="s">
        <v>1429</v>
      </c>
      <c r="G40" s="1285" t="s">
        <v>1534</v>
      </c>
      <c r="H40" s="1055"/>
      <c r="I40" s="1648" t="s">
        <v>310</v>
      </c>
      <c r="J40" s="1649"/>
      <c r="K40" s="1649"/>
      <c r="L40" s="1649"/>
      <c r="M40" s="1649"/>
      <c r="N40" s="1650"/>
    </row>
    <row r="41" spans="1:15" x14ac:dyDescent="0.25">
      <c r="A41" s="73" t="s">
        <v>80</v>
      </c>
      <c r="B41" s="73" t="s">
        <v>81</v>
      </c>
      <c r="C41" s="73" t="s">
        <v>235</v>
      </c>
      <c r="D41" s="73" t="s">
        <v>254</v>
      </c>
      <c r="E41" s="75"/>
      <c r="F41" s="592" t="s">
        <v>1424</v>
      </c>
      <c r="G41" s="1285" t="s">
        <v>1534</v>
      </c>
      <c r="H41" s="76" t="s">
        <v>338</v>
      </c>
      <c r="I41" s="960">
        <v>0.5</v>
      </c>
      <c r="J41" s="960"/>
      <c r="K41" s="960"/>
      <c r="L41" s="960"/>
      <c r="M41" s="960">
        <v>0.15</v>
      </c>
      <c r="N41" s="855" t="s">
        <v>294</v>
      </c>
      <c r="O41" s="91" t="s">
        <v>1534</v>
      </c>
    </row>
    <row r="42" spans="1:15" ht="60" x14ac:dyDescent="0.25">
      <c r="A42" s="73" t="s">
        <v>82</v>
      </c>
      <c r="B42" s="73" t="s">
        <v>49</v>
      </c>
      <c r="C42" s="73" t="s">
        <v>236</v>
      </c>
      <c r="D42" s="73" t="s">
        <v>255</v>
      </c>
      <c r="E42" s="75"/>
      <c r="F42" s="592" t="s">
        <v>1430</v>
      </c>
      <c r="G42" s="1285" t="s">
        <v>1534</v>
      </c>
      <c r="H42" s="76" t="s">
        <v>339</v>
      </c>
      <c r="I42" s="960">
        <v>5</v>
      </c>
      <c r="J42" s="960"/>
      <c r="K42" s="960"/>
      <c r="L42" s="960">
        <v>10</v>
      </c>
      <c r="M42" s="960">
        <v>2</v>
      </c>
      <c r="N42" s="855" t="s">
        <v>294</v>
      </c>
      <c r="O42" s="91" t="s">
        <v>1534</v>
      </c>
    </row>
    <row r="43" spans="1:15" ht="30" x14ac:dyDescent="0.25">
      <c r="A43" s="73" t="s">
        <v>89</v>
      </c>
      <c r="B43" s="73" t="s">
        <v>83</v>
      </c>
      <c r="C43" s="73" t="s">
        <v>83</v>
      </c>
      <c r="D43" s="73" t="s">
        <v>256</v>
      </c>
      <c r="E43" s="75"/>
      <c r="F43" s="592" t="s">
        <v>1430</v>
      </c>
      <c r="G43" s="1285" t="s">
        <v>1534</v>
      </c>
      <c r="H43" s="76" t="s">
        <v>340</v>
      </c>
      <c r="I43" s="960">
        <v>0.05</v>
      </c>
      <c r="J43" s="960"/>
      <c r="K43" s="960"/>
      <c r="L43" s="960"/>
      <c r="M43" s="960">
        <v>0.15</v>
      </c>
      <c r="N43" s="855" t="s">
        <v>294</v>
      </c>
      <c r="O43" s="91" t="s">
        <v>1534</v>
      </c>
    </row>
    <row r="44" spans="1:15" x14ac:dyDescent="0.25">
      <c r="A44" s="73" t="s">
        <v>90</v>
      </c>
      <c r="B44" s="73" t="s">
        <v>91</v>
      </c>
      <c r="C44" s="73" t="s">
        <v>91</v>
      </c>
      <c r="D44" s="73" t="s">
        <v>91</v>
      </c>
      <c r="E44" s="75"/>
      <c r="F44" s="592" t="s">
        <v>1431</v>
      </c>
      <c r="G44" s="1285" t="s">
        <v>1534</v>
      </c>
      <c r="H44" s="76" t="s">
        <v>347</v>
      </c>
      <c r="I44" s="960">
        <v>0.05</v>
      </c>
      <c r="J44" s="960"/>
      <c r="K44" s="960"/>
      <c r="L44" s="960"/>
      <c r="M44" s="960">
        <v>0.15</v>
      </c>
      <c r="N44" s="855" t="s">
        <v>294</v>
      </c>
      <c r="O44" s="91" t="s">
        <v>1534</v>
      </c>
    </row>
    <row r="45" spans="1:15" x14ac:dyDescent="0.25">
      <c r="A45" s="73" t="s">
        <v>92</v>
      </c>
      <c r="B45" s="73" t="s">
        <v>93</v>
      </c>
      <c r="C45" s="73" t="s">
        <v>93</v>
      </c>
      <c r="D45" s="73" t="s">
        <v>257</v>
      </c>
      <c r="E45" s="75"/>
      <c r="F45" s="592" t="s">
        <v>1432</v>
      </c>
      <c r="G45" s="1285" t="s">
        <v>1534</v>
      </c>
      <c r="H45" s="76" t="s">
        <v>341</v>
      </c>
      <c r="I45" s="960">
        <v>0.05</v>
      </c>
      <c r="J45" s="960"/>
      <c r="K45" s="960"/>
      <c r="L45" s="960"/>
      <c r="M45" s="960">
        <v>0.15</v>
      </c>
      <c r="N45" s="855" t="s">
        <v>294</v>
      </c>
      <c r="O45" s="91" t="s">
        <v>1534</v>
      </c>
    </row>
    <row r="46" spans="1:15" x14ac:dyDescent="0.25">
      <c r="A46" s="73" t="s">
        <v>94</v>
      </c>
      <c r="B46" s="73" t="s">
        <v>95</v>
      </c>
      <c r="C46" s="73" t="s">
        <v>95</v>
      </c>
      <c r="D46" s="73" t="s">
        <v>258</v>
      </c>
      <c r="E46" s="75"/>
      <c r="F46" s="592" t="s">
        <v>1433</v>
      </c>
      <c r="G46" s="1285" t="s">
        <v>1534</v>
      </c>
      <c r="H46" s="76" t="s">
        <v>348</v>
      </c>
      <c r="I46" s="960">
        <v>0.05</v>
      </c>
      <c r="J46" s="960"/>
      <c r="K46" s="960"/>
      <c r="L46" s="960">
        <v>0.01</v>
      </c>
      <c r="M46" s="960">
        <v>0.15</v>
      </c>
      <c r="N46" s="855" t="s">
        <v>294</v>
      </c>
      <c r="O46" s="91" t="s">
        <v>1534</v>
      </c>
    </row>
    <row r="47" spans="1:15" x14ac:dyDescent="0.25">
      <c r="A47" s="73" t="s">
        <v>96</v>
      </c>
      <c r="B47" s="73" t="s">
        <v>97</v>
      </c>
      <c r="C47" s="73" t="s">
        <v>97</v>
      </c>
      <c r="D47" s="73" t="s">
        <v>97</v>
      </c>
      <c r="E47" s="75"/>
      <c r="F47" s="592" t="s">
        <v>1434</v>
      </c>
      <c r="G47" s="1285" t="s">
        <v>1534</v>
      </c>
      <c r="H47" s="76" t="s">
        <v>349</v>
      </c>
      <c r="I47" s="960">
        <v>5</v>
      </c>
      <c r="J47" s="960"/>
      <c r="K47" s="960"/>
      <c r="L47" s="960"/>
      <c r="M47" s="960">
        <v>2</v>
      </c>
      <c r="N47" s="855" t="s">
        <v>294</v>
      </c>
      <c r="O47" s="91" t="s">
        <v>1534</v>
      </c>
    </row>
    <row r="48" spans="1:15" x14ac:dyDescent="0.25">
      <c r="A48" s="73" t="s">
        <v>98</v>
      </c>
      <c r="B48" s="73" t="s">
        <v>99</v>
      </c>
      <c r="C48" s="73" t="s">
        <v>99</v>
      </c>
      <c r="D48" s="73" t="s">
        <v>99</v>
      </c>
      <c r="E48" s="75"/>
      <c r="F48" s="592" t="s">
        <v>1435</v>
      </c>
      <c r="G48" s="1285" t="s">
        <v>1534</v>
      </c>
      <c r="H48" s="76" t="s">
        <v>342</v>
      </c>
      <c r="I48" s="960">
        <v>200</v>
      </c>
      <c r="J48" s="960">
        <v>100</v>
      </c>
      <c r="K48" s="960"/>
      <c r="L48" s="960"/>
      <c r="M48" s="960">
        <v>5</v>
      </c>
      <c r="N48" s="855" t="s">
        <v>294</v>
      </c>
      <c r="O48" s="91" t="s">
        <v>1534</v>
      </c>
    </row>
    <row r="49" spans="1:15" x14ac:dyDescent="0.25">
      <c r="A49" s="73" t="s">
        <v>100</v>
      </c>
      <c r="B49" s="73" t="s">
        <v>101</v>
      </c>
      <c r="C49" s="73" t="s">
        <v>101</v>
      </c>
      <c r="D49" s="73" t="s">
        <v>101</v>
      </c>
      <c r="E49" s="75"/>
      <c r="F49" s="592" t="s">
        <v>1435</v>
      </c>
      <c r="G49" s="1285" t="s">
        <v>1534</v>
      </c>
      <c r="H49" s="76" t="s">
        <v>343</v>
      </c>
      <c r="I49" s="960">
        <v>0.05</v>
      </c>
      <c r="J49" s="960"/>
      <c r="K49" s="960"/>
      <c r="L49" s="960"/>
      <c r="M49" s="960">
        <v>0.15</v>
      </c>
      <c r="N49" s="855" t="s">
        <v>294</v>
      </c>
      <c r="O49" s="91" t="s">
        <v>1534</v>
      </c>
    </row>
    <row r="50" spans="1:15" x14ac:dyDescent="0.25">
      <c r="A50" s="1658" t="s">
        <v>84</v>
      </c>
      <c r="B50" s="73" t="s">
        <v>85</v>
      </c>
      <c r="C50" s="73" t="s">
        <v>85</v>
      </c>
      <c r="D50" s="73" t="s">
        <v>259</v>
      </c>
      <c r="E50" s="75"/>
      <c r="F50" s="592" t="s">
        <v>1435</v>
      </c>
      <c r="G50" s="1285" t="s">
        <v>1534</v>
      </c>
      <c r="H50" s="76" t="s">
        <v>344</v>
      </c>
      <c r="I50" s="960" t="s">
        <v>350</v>
      </c>
      <c r="J50" s="960"/>
      <c r="K50" s="960"/>
      <c r="L50" s="960"/>
      <c r="M50" s="960">
        <v>5</v>
      </c>
      <c r="N50" s="855" t="s">
        <v>294</v>
      </c>
      <c r="O50" s="91" t="s">
        <v>1534</v>
      </c>
    </row>
    <row r="51" spans="1:15" ht="30" x14ac:dyDescent="0.25">
      <c r="A51" s="1658"/>
      <c r="B51" s="73" t="s">
        <v>86</v>
      </c>
      <c r="C51" s="73" t="s">
        <v>86</v>
      </c>
      <c r="D51" s="73" t="s">
        <v>260</v>
      </c>
      <c r="E51" s="75"/>
      <c r="F51" s="592" t="s">
        <v>1435</v>
      </c>
      <c r="G51" s="1285" t="s">
        <v>1534</v>
      </c>
      <c r="H51" s="76" t="s">
        <v>345</v>
      </c>
      <c r="I51" s="960" t="s">
        <v>351</v>
      </c>
      <c r="J51" s="960"/>
      <c r="K51" s="960"/>
      <c r="L51" s="960"/>
      <c r="M51" s="960">
        <v>5</v>
      </c>
      <c r="N51" s="855" t="s">
        <v>294</v>
      </c>
      <c r="O51" s="91" t="s">
        <v>1534</v>
      </c>
    </row>
    <row r="52" spans="1:15" ht="30" x14ac:dyDescent="0.25">
      <c r="A52" s="1658"/>
      <c r="B52" s="73" t="s">
        <v>87</v>
      </c>
      <c r="C52" s="73" t="s">
        <v>87</v>
      </c>
      <c r="D52" s="73" t="s">
        <v>261</v>
      </c>
      <c r="E52" s="75"/>
      <c r="F52" s="592" t="s">
        <v>1435</v>
      </c>
      <c r="G52" s="1285" t="s">
        <v>1534</v>
      </c>
      <c r="H52" s="76" t="s">
        <v>346</v>
      </c>
      <c r="I52" s="960">
        <v>10</v>
      </c>
      <c r="J52" s="960">
        <v>5</v>
      </c>
      <c r="K52" s="960"/>
      <c r="L52" s="960">
        <v>10</v>
      </c>
      <c r="M52" s="960">
        <v>5</v>
      </c>
      <c r="N52" s="855" t="s">
        <v>294</v>
      </c>
      <c r="O52" s="91" t="s">
        <v>1534</v>
      </c>
    </row>
    <row r="53" spans="1:15" x14ac:dyDescent="0.25">
      <c r="A53" s="1658"/>
      <c r="B53" s="73" t="s">
        <v>88</v>
      </c>
      <c r="C53" s="73" t="s">
        <v>88</v>
      </c>
      <c r="D53" s="73" t="s">
        <v>262</v>
      </c>
      <c r="E53" s="75"/>
      <c r="F53" s="592" t="s">
        <v>1435</v>
      </c>
      <c r="G53" s="1285" t="s">
        <v>1534</v>
      </c>
      <c r="H53" s="76" t="s">
        <v>360</v>
      </c>
      <c r="I53" s="960">
        <v>30</v>
      </c>
      <c r="J53" s="960"/>
      <c r="K53" s="960"/>
      <c r="L53" s="960">
        <v>0.3</v>
      </c>
      <c r="M53" s="960">
        <v>5</v>
      </c>
      <c r="N53" s="855" t="s">
        <v>294</v>
      </c>
      <c r="O53" s="91" t="s">
        <v>1534</v>
      </c>
    </row>
    <row r="54" spans="1:15" x14ac:dyDescent="0.25">
      <c r="A54" s="73" t="s">
        <v>102</v>
      </c>
      <c r="B54" s="73" t="s">
        <v>103</v>
      </c>
      <c r="C54" s="73" t="s">
        <v>103</v>
      </c>
      <c r="D54" s="73" t="s">
        <v>263</v>
      </c>
      <c r="E54" s="75"/>
      <c r="F54" s="592" t="s">
        <v>1436</v>
      </c>
      <c r="G54" s="1285" t="s">
        <v>1534</v>
      </c>
      <c r="H54" s="76" t="s">
        <v>352</v>
      </c>
      <c r="I54" s="960"/>
      <c r="J54" s="960"/>
      <c r="K54" s="960"/>
      <c r="L54" s="960"/>
      <c r="M54" s="960"/>
      <c r="N54" s="855" t="s">
        <v>294</v>
      </c>
      <c r="O54" s="91" t="s">
        <v>1534</v>
      </c>
    </row>
    <row r="55" spans="1:15" x14ac:dyDescent="0.25">
      <c r="A55" s="73" t="s">
        <v>104</v>
      </c>
      <c r="B55" s="73" t="s">
        <v>105</v>
      </c>
      <c r="C55" s="73" t="s">
        <v>105</v>
      </c>
      <c r="D55" s="73" t="s">
        <v>264</v>
      </c>
      <c r="E55" s="75"/>
      <c r="F55" s="592" t="s">
        <v>1437</v>
      </c>
      <c r="G55" s="1285" t="s">
        <v>1534</v>
      </c>
      <c r="H55" s="76" t="s">
        <v>354</v>
      </c>
      <c r="I55" s="960"/>
      <c r="J55" s="960"/>
      <c r="K55" s="960"/>
      <c r="L55" s="960"/>
      <c r="M55" s="960"/>
      <c r="N55" s="855" t="s">
        <v>294</v>
      </c>
      <c r="O55" s="91" t="s">
        <v>1534</v>
      </c>
    </row>
    <row r="56" spans="1:15" ht="16.5" x14ac:dyDescent="0.25">
      <c r="A56" s="73" t="s">
        <v>106</v>
      </c>
      <c r="B56" s="73" t="s">
        <v>107</v>
      </c>
      <c r="C56" s="73" t="s">
        <v>531</v>
      </c>
      <c r="D56" s="73" t="s">
        <v>531</v>
      </c>
      <c r="E56" s="75"/>
      <c r="F56" s="592" t="s">
        <v>1438</v>
      </c>
      <c r="G56" s="1285" t="s">
        <v>1534</v>
      </c>
      <c r="H56" s="76" t="s">
        <v>355</v>
      </c>
      <c r="I56" s="960">
        <v>50</v>
      </c>
      <c r="J56" s="960"/>
      <c r="K56" s="960"/>
      <c r="L56" s="960" t="s">
        <v>356</v>
      </c>
      <c r="M56" s="960"/>
      <c r="N56" s="855" t="s">
        <v>294</v>
      </c>
      <c r="O56" s="91" t="s">
        <v>1534</v>
      </c>
    </row>
    <row r="57" spans="1:15" x14ac:dyDescent="0.25">
      <c r="A57" s="73" t="s">
        <v>108</v>
      </c>
      <c r="B57" s="73" t="s">
        <v>109</v>
      </c>
      <c r="C57" s="73" t="s">
        <v>266</v>
      </c>
      <c r="D57" s="73" t="s">
        <v>265</v>
      </c>
      <c r="E57" s="75"/>
      <c r="F57" s="592" t="s">
        <v>1439</v>
      </c>
      <c r="G57" s="1285" t="s">
        <v>1534</v>
      </c>
      <c r="H57" s="76" t="s">
        <v>361</v>
      </c>
      <c r="I57" s="960">
        <v>0.05</v>
      </c>
      <c r="J57" s="960"/>
      <c r="K57" s="960"/>
      <c r="L57" s="960"/>
      <c r="M57" s="960">
        <v>0.15</v>
      </c>
      <c r="N57" s="855" t="s">
        <v>294</v>
      </c>
      <c r="O57" s="91" t="s">
        <v>1534</v>
      </c>
    </row>
    <row r="58" spans="1:15" x14ac:dyDescent="0.25">
      <c r="A58" s="73" t="s">
        <v>110</v>
      </c>
      <c r="B58" s="73" t="s">
        <v>111</v>
      </c>
      <c r="C58" s="73" t="s">
        <v>111</v>
      </c>
      <c r="D58" s="73" t="s">
        <v>111</v>
      </c>
      <c r="E58" s="75"/>
      <c r="F58" s="592" t="s">
        <v>1440</v>
      </c>
      <c r="G58" s="1285" t="s">
        <v>1534</v>
      </c>
      <c r="H58" s="76" t="s">
        <v>362</v>
      </c>
      <c r="I58" s="960">
        <v>20</v>
      </c>
      <c r="J58" s="960">
        <v>50</v>
      </c>
      <c r="K58" s="960"/>
      <c r="L58" s="960"/>
      <c r="M58" s="960">
        <v>10</v>
      </c>
      <c r="N58" s="855" t="s">
        <v>294</v>
      </c>
      <c r="O58" s="91" t="s">
        <v>1534</v>
      </c>
    </row>
    <row r="59" spans="1:15" x14ac:dyDescent="0.25">
      <c r="A59" s="73" t="s">
        <v>112</v>
      </c>
      <c r="B59" s="73" t="s">
        <v>113</v>
      </c>
      <c r="C59" s="73" t="s">
        <v>113</v>
      </c>
      <c r="D59" s="73" t="s">
        <v>113</v>
      </c>
      <c r="E59" s="75"/>
      <c r="F59" s="592" t="s">
        <v>1441</v>
      </c>
      <c r="G59" s="1285" t="s">
        <v>1534</v>
      </c>
      <c r="H59" s="76" t="s">
        <v>363</v>
      </c>
      <c r="I59" s="960">
        <v>20</v>
      </c>
      <c r="J59" s="960"/>
      <c r="K59" s="960"/>
      <c r="L59" s="960"/>
      <c r="M59" s="960">
        <v>5</v>
      </c>
      <c r="N59" s="855" t="s">
        <v>294</v>
      </c>
      <c r="O59" s="91" t="s">
        <v>1534</v>
      </c>
    </row>
    <row r="60" spans="1:15" x14ac:dyDescent="0.25">
      <c r="A60" s="73" t="s">
        <v>114</v>
      </c>
      <c r="B60" s="73" t="s">
        <v>115</v>
      </c>
      <c r="C60" s="73" t="s">
        <v>115</v>
      </c>
      <c r="D60" s="73" t="s">
        <v>267</v>
      </c>
      <c r="E60" s="75"/>
      <c r="F60" s="592" t="s">
        <v>1442</v>
      </c>
      <c r="G60" s="1285" t="s">
        <v>1534</v>
      </c>
      <c r="H60" s="76" t="s">
        <v>364</v>
      </c>
      <c r="I60" s="960" t="s">
        <v>296</v>
      </c>
      <c r="J60" s="960"/>
      <c r="K60" s="960"/>
      <c r="L60" s="960"/>
      <c r="M60" s="960">
        <v>5</v>
      </c>
      <c r="N60" s="855" t="s">
        <v>294</v>
      </c>
      <c r="O60" s="91" t="s">
        <v>1534</v>
      </c>
    </row>
    <row r="61" spans="1:15" x14ac:dyDescent="0.25">
      <c r="A61" s="1048"/>
      <c r="B61" s="1654" t="s">
        <v>117</v>
      </c>
      <c r="C61" s="1655"/>
      <c r="D61" s="1655"/>
      <c r="E61" s="1655"/>
      <c r="F61" s="1656"/>
      <c r="H61" s="76" t="s">
        <v>365</v>
      </c>
      <c r="I61" s="960">
        <v>3</v>
      </c>
      <c r="J61" s="960">
        <v>2</v>
      </c>
      <c r="K61" s="960"/>
      <c r="L61" s="960">
        <v>2</v>
      </c>
      <c r="M61" s="960">
        <v>10</v>
      </c>
      <c r="N61" s="855" t="s">
        <v>294</v>
      </c>
      <c r="O61" s="91" t="s">
        <v>1534</v>
      </c>
    </row>
    <row r="62" spans="1:15" x14ac:dyDescent="0.25">
      <c r="A62" s="73" t="s">
        <v>118</v>
      </c>
      <c r="B62" s="73" t="s">
        <v>119</v>
      </c>
      <c r="C62" s="73" t="s">
        <v>119</v>
      </c>
      <c r="D62" s="73"/>
      <c r="E62" s="75"/>
      <c r="F62" s="592" t="s">
        <v>1302</v>
      </c>
      <c r="G62" s="1285" t="s">
        <v>1534</v>
      </c>
      <c r="H62" s="76" t="s">
        <v>366</v>
      </c>
      <c r="I62" s="960">
        <v>0.05</v>
      </c>
      <c r="J62" s="960"/>
      <c r="K62" s="960"/>
      <c r="L62" s="960"/>
      <c r="M62" s="960">
        <v>0.15</v>
      </c>
      <c r="N62" s="855" t="s">
        <v>294</v>
      </c>
      <c r="O62" s="91" t="s">
        <v>1534</v>
      </c>
    </row>
    <row r="63" spans="1:15" x14ac:dyDescent="0.25">
      <c r="A63" s="73" t="s">
        <v>120</v>
      </c>
      <c r="B63" s="73" t="s">
        <v>121</v>
      </c>
      <c r="C63" s="73" t="s">
        <v>121</v>
      </c>
      <c r="D63" s="73"/>
      <c r="E63" s="75"/>
      <c r="F63" s="592" t="s">
        <v>1302</v>
      </c>
      <c r="G63" s="1285" t="s">
        <v>1534</v>
      </c>
      <c r="H63" s="76" t="s">
        <v>357</v>
      </c>
      <c r="I63" s="960">
        <v>0.5</v>
      </c>
      <c r="J63" s="960"/>
      <c r="K63" s="960"/>
      <c r="L63" s="960">
        <v>0.1</v>
      </c>
      <c r="M63" s="960" t="s">
        <v>367</v>
      </c>
      <c r="N63" s="855" t="s">
        <v>294</v>
      </c>
      <c r="O63" s="91" t="s">
        <v>1534</v>
      </c>
    </row>
    <row r="64" spans="1:15" x14ac:dyDescent="0.25">
      <c r="A64" s="73" t="s">
        <v>122</v>
      </c>
      <c r="B64" s="73" t="s">
        <v>123</v>
      </c>
      <c r="C64" s="73" t="s">
        <v>123</v>
      </c>
      <c r="D64" s="73" t="s">
        <v>180</v>
      </c>
      <c r="E64" s="75"/>
      <c r="F64" s="592" t="s">
        <v>1302</v>
      </c>
      <c r="G64" s="1285" t="s">
        <v>1534</v>
      </c>
      <c r="H64" s="76" t="s">
        <v>358</v>
      </c>
      <c r="I64" s="960">
        <v>2</v>
      </c>
      <c r="J64" s="960">
        <v>5</v>
      </c>
      <c r="K64" s="960"/>
      <c r="L64" s="960">
        <v>3</v>
      </c>
      <c r="M64" s="960">
        <v>2</v>
      </c>
      <c r="N64" s="855" t="s">
        <v>294</v>
      </c>
      <c r="O64" s="91" t="s">
        <v>1534</v>
      </c>
    </row>
    <row r="65" spans="1:15" x14ac:dyDescent="0.25">
      <c r="A65" s="73" t="s">
        <v>124</v>
      </c>
      <c r="B65" s="73" t="s">
        <v>125</v>
      </c>
      <c r="C65" s="73" t="s">
        <v>125</v>
      </c>
      <c r="D65" s="73" t="s">
        <v>268</v>
      </c>
      <c r="E65" s="75"/>
      <c r="F65" s="592" t="s">
        <v>1302</v>
      </c>
      <c r="G65" s="1285" t="s">
        <v>1534</v>
      </c>
      <c r="H65" s="76" t="s">
        <v>359</v>
      </c>
      <c r="I65" s="960">
        <v>20</v>
      </c>
      <c r="J65" s="960"/>
      <c r="K65" s="960"/>
      <c r="L65" s="960"/>
      <c r="M65" s="960" t="s">
        <v>368</v>
      </c>
      <c r="N65" s="855" t="s">
        <v>294</v>
      </c>
      <c r="O65" s="91" t="s">
        <v>1534</v>
      </c>
    </row>
    <row r="66" spans="1:15" x14ac:dyDescent="0.25">
      <c r="A66" s="73" t="s">
        <v>126</v>
      </c>
      <c r="B66" s="73" t="s">
        <v>127</v>
      </c>
      <c r="C66" s="73" t="s">
        <v>127</v>
      </c>
      <c r="D66" s="73" t="s">
        <v>127</v>
      </c>
      <c r="E66" s="75"/>
      <c r="F66" s="592" t="s">
        <v>1302</v>
      </c>
      <c r="G66" s="1285" t="s">
        <v>1534</v>
      </c>
      <c r="H66" s="76" t="s">
        <v>217</v>
      </c>
      <c r="I66" s="960">
        <v>40</v>
      </c>
      <c r="J66" s="960"/>
      <c r="K66" s="960"/>
      <c r="L66" s="960">
        <v>10</v>
      </c>
      <c r="M66" s="960">
        <v>5</v>
      </c>
      <c r="N66" s="855" t="s">
        <v>294</v>
      </c>
      <c r="O66" s="91" t="s">
        <v>1534</v>
      </c>
    </row>
    <row r="67" spans="1:15" x14ac:dyDescent="0.25">
      <c r="A67" s="73" t="s">
        <v>128</v>
      </c>
      <c r="B67" s="73" t="s">
        <v>129</v>
      </c>
      <c r="C67" s="73" t="s">
        <v>129</v>
      </c>
      <c r="D67" s="73"/>
      <c r="E67" s="75"/>
      <c r="F67" s="592" t="s">
        <v>1302</v>
      </c>
      <c r="G67" s="1285" t="s">
        <v>1534</v>
      </c>
      <c r="H67" s="76" t="s">
        <v>369</v>
      </c>
      <c r="I67" s="960">
        <v>70</v>
      </c>
      <c r="J67" s="960">
        <v>50</v>
      </c>
      <c r="K67" s="960"/>
      <c r="L67" s="960">
        <v>30</v>
      </c>
      <c r="M67" s="960">
        <v>5</v>
      </c>
      <c r="N67" s="855" t="s">
        <v>294</v>
      </c>
      <c r="O67" s="91" t="s">
        <v>1534</v>
      </c>
    </row>
    <row r="68" spans="1:15" x14ac:dyDescent="0.25">
      <c r="A68" s="73" t="s">
        <v>130</v>
      </c>
      <c r="B68" s="73" t="s">
        <v>131</v>
      </c>
      <c r="C68" s="73" t="s">
        <v>131</v>
      </c>
      <c r="D68" s="73"/>
      <c r="E68" s="75"/>
      <c r="F68" s="592" t="s">
        <v>1302</v>
      </c>
      <c r="G68" s="1285" t="s">
        <v>1534</v>
      </c>
      <c r="H68" s="76" t="s">
        <v>370</v>
      </c>
      <c r="I68" s="960" t="s">
        <v>371</v>
      </c>
      <c r="J68" s="960">
        <v>24</v>
      </c>
      <c r="K68" s="960"/>
      <c r="L68" s="960"/>
      <c r="M68" s="960">
        <v>5</v>
      </c>
      <c r="N68" s="855" t="s">
        <v>294</v>
      </c>
      <c r="O68" s="91" t="s">
        <v>1534</v>
      </c>
    </row>
    <row r="69" spans="1:15" x14ac:dyDescent="0.25">
      <c r="A69" s="73" t="s">
        <v>132</v>
      </c>
      <c r="B69" s="73" t="s">
        <v>131</v>
      </c>
      <c r="C69" s="73" t="s">
        <v>131</v>
      </c>
      <c r="D69" s="73" t="s">
        <v>269</v>
      </c>
      <c r="E69" s="75"/>
      <c r="F69" s="592" t="s">
        <v>1302</v>
      </c>
      <c r="G69" s="1285" t="s">
        <v>1534</v>
      </c>
      <c r="H69" s="76" t="s">
        <v>353</v>
      </c>
      <c r="I69" s="960" t="s">
        <v>372</v>
      </c>
      <c r="J69" s="960"/>
      <c r="K69" s="960"/>
      <c r="L69" s="960"/>
      <c r="M69" s="960" t="s">
        <v>368</v>
      </c>
      <c r="N69" s="855" t="s">
        <v>294</v>
      </c>
      <c r="O69" s="91" t="s">
        <v>1534</v>
      </c>
    </row>
    <row r="70" spans="1:15" x14ac:dyDescent="0.25">
      <c r="A70" s="73" t="s">
        <v>133</v>
      </c>
      <c r="B70" s="73" t="s">
        <v>131</v>
      </c>
      <c r="C70" s="73" t="s">
        <v>131</v>
      </c>
      <c r="D70" s="73"/>
      <c r="E70" s="75"/>
      <c r="F70" s="592" t="s">
        <v>1302</v>
      </c>
      <c r="G70" s="1285" t="s">
        <v>1534</v>
      </c>
      <c r="H70" s="88"/>
      <c r="I70" s="1651" t="s">
        <v>375</v>
      </c>
      <c r="J70" s="1652"/>
      <c r="K70" s="1652"/>
      <c r="L70" s="1652"/>
      <c r="M70" s="1652"/>
      <c r="N70" s="1653"/>
    </row>
    <row r="71" spans="1:15" x14ac:dyDescent="0.25">
      <c r="A71" s="73" t="s">
        <v>134</v>
      </c>
      <c r="B71" s="73" t="s">
        <v>131</v>
      </c>
      <c r="C71" s="73" t="s">
        <v>131</v>
      </c>
      <c r="D71" s="73"/>
      <c r="E71" s="75"/>
      <c r="F71" s="592" t="s">
        <v>1302</v>
      </c>
      <c r="G71" s="1285" t="s">
        <v>1534</v>
      </c>
      <c r="H71" s="76" t="s">
        <v>381</v>
      </c>
      <c r="I71" s="960">
        <v>20</v>
      </c>
      <c r="J71" s="960"/>
      <c r="K71" s="960"/>
      <c r="L71" s="960">
        <v>3</v>
      </c>
      <c r="M71" s="960">
        <v>0.1</v>
      </c>
      <c r="N71" s="855" t="s">
        <v>294</v>
      </c>
      <c r="O71" s="91" t="s">
        <v>1534</v>
      </c>
    </row>
    <row r="72" spans="1:15" ht="45" x14ac:dyDescent="0.25">
      <c r="A72" s="73" t="s">
        <v>135</v>
      </c>
      <c r="B72" s="73" t="s">
        <v>136</v>
      </c>
      <c r="C72" s="74" t="s">
        <v>136</v>
      </c>
      <c r="D72" s="74" t="s">
        <v>270</v>
      </c>
      <c r="E72" s="75"/>
      <c r="F72" s="592" t="s">
        <v>1302</v>
      </c>
      <c r="G72" s="1285" t="s">
        <v>1534</v>
      </c>
      <c r="H72" s="73" t="s">
        <v>378</v>
      </c>
      <c r="I72" s="960">
        <v>10</v>
      </c>
      <c r="J72" s="960">
        <v>11</v>
      </c>
      <c r="K72" s="960">
        <v>54.9</v>
      </c>
      <c r="L72" s="960"/>
      <c r="M72" s="960" t="s">
        <v>382</v>
      </c>
      <c r="N72" s="855" t="s">
        <v>294</v>
      </c>
      <c r="O72" s="91" t="s">
        <v>1534</v>
      </c>
    </row>
    <row r="73" spans="1:15" x14ac:dyDescent="0.25">
      <c r="A73" s="73" t="s">
        <v>137</v>
      </c>
      <c r="B73" s="73" t="s">
        <v>138</v>
      </c>
      <c r="C73" s="74" t="s">
        <v>138</v>
      </c>
      <c r="D73" s="74" t="s">
        <v>152</v>
      </c>
      <c r="E73" s="75"/>
      <c r="F73" s="592" t="s">
        <v>1302</v>
      </c>
      <c r="G73" s="1285" t="s">
        <v>1534</v>
      </c>
      <c r="H73" s="76" t="s">
        <v>377</v>
      </c>
      <c r="I73" s="960">
        <v>0.03</v>
      </c>
      <c r="J73" s="960"/>
      <c r="K73" s="960"/>
      <c r="L73" s="960">
        <v>1</v>
      </c>
      <c r="M73" s="960" t="s">
        <v>379</v>
      </c>
      <c r="N73" s="855" t="s">
        <v>294</v>
      </c>
      <c r="O73" s="91" t="s">
        <v>1534</v>
      </c>
    </row>
    <row r="74" spans="1:15" x14ac:dyDescent="0.25">
      <c r="A74" s="73" t="s">
        <v>139</v>
      </c>
      <c r="B74" s="73" t="s">
        <v>140</v>
      </c>
      <c r="C74" s="74" t="s">
        <v>140</v>
      </c>
      <c r="D74" s="74"/>
      <c r="E74" s="75"/>
      <c r="F74" s="592" t="s">
        <v>1302</v>
      </c>
      <c r="G74" s="1285" t="s">
        <v>1534</v>
      </c>
      <c r="H74" s="76" t="s">
        <v>124</v>
      </c>
      <c r="I74" s="960">
        <v>2</v>
      </c>
      <c r="J74" s="960">
        <v>5</v>
      </c>
      <c r="K74" s="960">
        <v>10</v>
      </c>
      <c r="L74" s="960"/>
      <c r="M74" s="960">
        <v>0.5</v>
      </c>
      <c r="N74" s="855" t="s">
        <v>294</v>
      </c>
      <c r="O74" s="91" t="s">
        <v>1534</v>
      </c>
    </row>
    <row r="75" spans="1:15" x14ac:dyDescent="0.25">
      <c r="A75" s="73" t="s">
        <v>141</v>
      </c>
      <c r="B75" s="73" t="s">
        <v>131</v>
      </c>
      <c r="C75" s="74" t="s">
        <v>131</v>
      </c>
      <c r="D75" s="74"/>
      <c r="E75" s="75"/>
      <c r="F75" s="592" t="s">
        <v>1302</v>
      </c>
      <c r="G75" s="1285" t="s">
        <v>1534</v>
      </c>
      <c r="H75" s="76" t="s">
        <v>387</v>
      </c>
      <c r="I75" s="960">
        <v>300</v>
      </c>
      <c r="J75" s="960"/>
      <c r="K75" s="960"/>
      <c r="L75" s="960">
        <v>400</v>
      </c>
      <c r="M75" s="960">
        <v>30</v>
      </c>
      <c r="N75" s="855" t="s">
        <v>294</v>
      </c>
      <c r="O75" s="91" t="s">
        <v>1534</v>
      </c>
    </row>
    <row r="76" spans="1:15" x14ac:dyDescent="0.25">
      <c r="A76" s="73" t="s">
        <v>142</v>
      </c>
      <c r="B76" s="73" t="s">
        <v>143</v>
      </c>
      <c r="C76" s="74" t="s">
        <v>143</v>
      </c>
      <c r="D76" s="74" t="s">
        <v>271</v>
      </c>
      <c r="E76" s="75"/>
      <c r="F76" s="592" t="s">
        <v>1302</v>
      </c>
      <c r="G76" s="1285" t="s">
        <v>1534</v>
      </c>
      <c r="H76" s="76" t="s">
        <v>383</v>
      </c>
      <c r="I76" s="960">
        <v>7</v>
      </c>
      <c r="J76" s="960">
        <v>45</v>
      </c>
      <c r="K76" s="960"/>
      <c r="L76" s="960">
        <v>30</v>
      </c>
      <c r="M76" s="960">
        <v>5</v>
      </c>
      <c r="N76" s="855" t="s">
        <v>294</v>
      </c>
      <c r="O76" s="91" t="s">
        <v>1534</v>
      </c>
    </row>
    <row r="77" spans="1:15" x14ac:dyDescent="0.25">
      <c r="A77" s="73" t="s">
        <v>144</v>
      </c>
      <c r="B77" s="73" t="s">
        <v>140</v>
      </c>
      <c r="C77" s="73" t="s">
        <v>140</v>
      </c>
      <c r="D77" s="73" t="s">
        <v>273</v>
      </c>
      <c r="E77" s="75"/>
      <c r="F77" s="592" t="s">
        <v>1302</v>
      </c>
      <c r="G77" s="1285" t="s">
        <v>1534</v>
      </c>
      <c r="H77" s="76" t="s">
        <v>380</v>
      </c>
      <c r="I77" s="855">
        <v>0.2</v>
      </c>
      <c r="J77" s="960"/>
      <c r="K77" s="960"/>
      <c r="L77" s="855">
        <v>6</v>
      </c>
      <c r="M77" s="960" t="s">
        <v>388</v>
      </c>
      <c r="N77" s="855" t="s">
        <v>294</v>
      </c>
      <c r="O77" s="91" t="s">
        <v>1534</v>
      </c>
    </row>
    <row r="78" spans="1:15" x14ac:dyDescent="0.25">
      <c r="A78" s="73" t="s">
        <v>145</v>
      </c>
      <c r="B78" s="73" t="s">
        <v>131</v>
      </c>
      <c r="C78" s="73" t="s">
        <v>131</v>
      </c>
      <c r="D78" s="73"/>
      <c r="E78" s="75"/>
      <c r="F78" s="592" t="s">
        <v>1302</v>
      </c>
      <c r="G78" s="1285" t="s">
        <v>1534</v>
      </c>
      <c r="H78" s="76" t="s">
        <v>384</v>
      </c>
      <c r="I78" s="960">
        <v>30</v>
      </c>
      <c r="J78" s="960">
        <v>170</v>
      </c>
      <c r="K78" s="960">
        <v>5.8</v>
      </c>
      <c r="L78" s="960"/>
      <c r="M78" s="960">
        <v>0.1</v>
      </c>
      <c r="N78" s="855" t="s">
        <v>294</v>
      </c>
      <c r="O78" s="91" t="s">
        <v>1534</v>
      </c>
    </row>
    <row r="79" spans="1:15" x14ac:dyDescent="0.25">
      <c r="A79" s="73" t="s">
        <v>146</v>
      </c>
      <c r="B79" s="73" t="s">
        <v>147</v>
      </c>
      <c r="C79" s="73" t="s">
        <v>147</v>
      </c>
      <c r="D79" s="73" t="s">
        <v>147</v>
      </c>
      <c r="E79" s="75"/>
      <c r="F79" s="592" t="s">
        <v>1302</v>
      </c>
      <c r="G79" s="1285" t="s">
        <v>1534</v>
      </c>
      <c r="H79" s="76" t="s">
        <v>385</v>
      </c>
      <c r="I79" s="960">
        <v>30</v>
      </c>
      <c r="J79" s="960">
        <v>24</v>
      </c>
      <c r="K79" s="960"/>
      <c r="L79" s="960">
        <v>2</v>
      </c>
      <c r="M79" s="960">
        <v>2</v>
      </c>
      <c r="N79" s="855" t="s">
        <v>294</v>
      </c>
      <c r="O79" s="91" t="s">
        <v>1534</v>
      </c>
    </row>
    <row r="80" spans="1:15" x14ac:dyDescent="0.25">
      <c r="A80" s="73" t="s">
        <v>148</v>
      </c>
      <c r="B80" s="73" t="s">
        <v>149</v>
      </c>
      <c r="C80" s="73" t="s">
        <v>149</v>
      </c>
      <c r="D80" s="73" t="s">
        <v>234</v>
      </c>
      <c r="E80" s="75"/>
      <c r="F80" s="592" t="s">
        <v>1302</v>
      </c>
      <c r="G80" s="1285" t="s">
        <v>1534</v>
      </c>
      <c r="H80" s="76" t="s">
        <v>386</v>
      </c>
      <c r="I80" s="960">
        <v>30</v>
      </c>
      <c r="J80" s="960"/>
      <c r="K80" s="960"/>
      <c r="L80" s="960">
        <v>100</v>
      </c>
      <c r="M80" s="960">
        <v>2</v>
      </c>
      <c r="N80" s="855" t="s">
        <v>294</v>
      </c>
      <c r="O80" s="91" t="s">
        <v>1534</v>
      </c>
    </row>
    <row r="81" spans="1:15" x14ac:dyDescent="0.25">
      <c r="A81" s="73" t="s">
        <v>151</v>
      </c>
      <c r="B81" s="73" t="s">
        <v>152</v>
      </c>
      <c r="C81" s="73" t="s">
        <v>152</v>
      </c>
      <c r="D81" s="73"/>
      <c r="E81" s="75"/>
      <c r="F81" s="592" t="s">
        <v>1302</v>
      </c>
      <c r="G81" s="1285" t="s">
        <v>1534</v>
      </c>
      <c r="H81" s="74" t="s">
        <v>389</v>
      </c>
      <c r="I81" s="855">
        <v>2</v>
      </c>
      <c r="J81" s="960"/>
      <c r="K81" s="960"/>
      <c r="L81" s="855">
        <v>3</v>
      </c>
      <c r="M81" s="960" t="s">
        <v>388</v>
      </c>
      <c r="N81" s="855" t="s">
        <v>294</v>
      </c>
      <c r="O81" s="91" t="s">
        <v>1534</v>
      </c>
    </row>
    <row r="82" spans="1:15" x14ac:dyDescent="0.25">
      <c r="A82" s="73" t="s">
        <v>153</v>
      </c>
      <c r="B82" s="73" t="s">
        <v>154</v>
      </c>
      <c r="C82" s="73" t="s">
        <v>154</v>
      </c>
      <c r="D82" s="73"/>
      <c r="E82" s="75"/>
      <c r="F82" s="592" t="s">
        <v>1302</v>
      </c>
      <c r="G82" s="1285" t="s">
        <v>1534</v>
      </c>
      <c r="H82" s="89" t="s">
        <v>390</v>
      </c>
      <c r="I82" s="960"/>
      <c r="J82" s="960"/>
      <c r="K82" s="960"/>
      <c r="L82" s="960"/>
      <c r="M82" s="960"/>
      <c r="N82" s="855" t="s">
        <v>294</v>
      </c>
      <c r="O82" s="91" t="s">
        <v>1534</v>
      </c>
    </row>
    <row r="83" spans="1:15" ht="30" x14ac:dyDescent="0.25">
      <c r="A83" s="73" t="s">
        <v>155</v>
      </c>
      <c r="B83" s="73" t="s">
        <v>156</v>
      </c>
      <c r="C83" s="73" t="s">
        <v>156</v>
      </c>
      <c r="D83" s="73" t="s">
        <v>272</v>
      </c>
      <c r="E83" s="75"/>
      <c r="F83" s="592" t="s">
        <v>1302</v>
      </c>
      <c r="G83" s="1285" t="s">
        <v>1534</v>
      </c>
      <c r="H83" s="73" t="s">
        <v>391</v>
      </c>
      <c r="I83" s="960"/>
      <c r="J83" s="960"/>
      <c r="K83" s="960">
        <v>40</v>
      </c>
      <c r="L83" s="960" t="s">
        <v>392</v>
      </c>
      <c r="M83" s="960"/>
      <c r="N83" s="855" t="s">
        <v>294</v>
      </c>
      <c r="O83" s="91" t="s">
        <v>1534</v>
      </c>
    </row>
    <row r="84" spans="1:15" x14ac:dyDescent="0.25">
      <c r="A84" s="73" t="s">
        <v>157</v>
      </c>
      <c r="B84" s="73" t="s">
        <v>158</v>
      </c>
      <c r="C84" s="73" t="s">
        <v>158</v>
      </c>
      <c r="D84" s="73" t="s">
        <v>129</v>
      </c>
      <c r="E84" s="75"/>
      <c r="F84" s="592" t="s">
        <v>1302</v>
      </c>
      <c r="G84" s="1285" t="s">
        <v>1534</v>
      </c>
      <c r="H84" s="89" t="s">
        <v>393</v>
      </c>
      <c r="I84" s="855">
        <v>0.06</v>
      </c>
      <c r="J84" s="960"/>
      <c r="K84" s="960"/>
      <c r="L84" s="855">
        <v>1</v>
      </c>
      <c r="M84" s="960">
        <v>0.01</v>
      </c>
      <c r="N84" s="855" t="s">
        <v>294</v>
      </c>
      <c r="O84" s="91" t="s">
        <v>1534</v>
      </c>
    </row>
    <row r="85" spans="1:15" ht="45" x14ac:dyDescent="0.25">
      <c r="A85" s="73" t="s">
        <v>532</v>
      </c>
      <c r="B85" s="73" t="s">
        <v>159</v>
      </c>
      <c r="C85" s="73" t="s">
        <v>159</v>
      </c>
      <c r="D85" s="73" t="s">
        <v>274</v>
      </c>
      <c r="E85" s="75"/>
      <c r="F85" s="592" t="s">
        <v>1302</v>
      </c>
      <c r="G85" s="1285" t="s">
        <v>1534</v>
      </c>
      <c r="H85" s="73" t="s">
        <v>394</v>
      </c>
      <c r="I85" s="960">
        <v>500</v>
      </c>
      <c r="J85" s="960">
        <v>280</v>
      </c>
      <c r="K85" s="72" t="s">
        <v>395</v>
      </c>
      <c r="L85" s="855">
        <v>200</v>
      </c>
      <c r="M85" s="855">
        <v>30</v>
      </c>
      <c r="N85" s="855" t="s">
        <v>294</v>
      </c>
      <c r="O85" s="91" t="s">
        <v>1534</v>
      </c>
    </row>
    <row r="86" spans="1:15" ht="30" x14ac:dyDescent="0.25">
      <c r="A86" s="73" t="s">
        <v>160</v>
      </c>
      <c r="B86" s="73" t="s">
        <v>161</v>
      </c>
      <c r="C86" s="73" t="s">
        <v>161</v>
      </c>
      <c r="D86" s="73" t="s">
        <v>201</v>
      </c>
      <c r="E86" s="75"/>
      <c r="F86" s="592" t="s">
        <v>1302</v>
      </c>
      <c r="G86" s="1285" t="s">
        <v>1534</v>
      </c>
      <c r="H86" s="73" t="s">
        <v>396</v>
      </c>
      <c r="I86" s="960"/>
      <c r="J86" s="960"/>
      <c r="K86" s="960"/>
      <c r="L86" s="960"/>
      <c r="M86" s="960"/>
      <c r="N86" s="855" t="s">
        <v>294</v>
      </c>
      <c r="O86" s="91" t="s">
        <v>1534</v>
      </c>
    </row>
    <row r="87" spans="1:15" ht="30" x14ac:dyDescent="0.25">
      <c r="A87" s="73" t="s">
        <v>162</v>
      </c>
      <c r="B87" s="73" t="s">
        <v>154</v>
      </c>
      <c r="C87" s="73" t="s">
        <v>154</v>
      </c>
      <c r="D87" s="73"/>
      <c r="E87" s="75"/>
      <c r="F87" s="592" t="s">
        <v>1303</v>
      </c>
      <c r="G87" s="1285" t="s">
        <v>1534</v>
      </c>
      <c r="H87" s="73" t="s">
        <v>397</v>
      </c>
      <c r="I87" s="960"/>
      <c r="J87" s="960"/>
      <c r="K87" s="960">
        <v>3</v>
      </c>
      <c r="L87" s="72" t="s">
        <v>388</v>
      </c>
      <c r="M87" s="960"/>
      <c r="N87" s="855" t="s">
        <v>294</v>
      </c>
      <c r="O87" s="91" t="s">
        <v>1534</v>
      </c>
    </row>
    <row r="88" spans="1:15" x14ac:dyDescent="0.25">
      <c r="A88" s="73" t="s">
        <v>163</v>
      </c>
      <c r="B88" s="73" t="s">
        <v>164</v>
      </c>
      <c r="C88" s="73" t="s">
        <v>164</v>
      </c>
      <c r="D88" s="73"/>
      <c r="E88" s="75"/>
      <c r="F88" s="592" t="s">
        <v>1302</v>
      </c>
      <c r="G88" s="1285" t="s">
        <v>1534</v>
      </c>
      <c r="H88" s="73" t="s">
        <v>398</v>
      </c>
      <c r="I88" s="960">
        <v>1</v>
      </c>
      <c r="J88" s="960">
        <v>0.52</v>
      </c>
      <c r="K88" s="960"/>
      <c r="L88" s="960"/>
      <c r="M88" s="960">
        <v>0.01</v>
      </c>
      <c r="N88" s="855" t="s">
        <v>294</v>
      </c>
      <c r="O88" s="91" t="s">
        <v>1534</v>
      </c>
    </row>
    <row r="89" spans="1:15" ht="30" x14ac:dyDescent="0.25">
      <c r="A89" s="73" t="s">
        <v>165</v>
      </c>
      <c r="B89" s="73" t="s">
        <v>166</v>
      </c>
      <c r="C89" s="73" t="s">
        <v>166</v>
      </c>
      <c r="D89" s="73" t="s">
        <v>275</v>
      </c>
      <c r="E89" s="73" t="s">
        <v>284</v>
      </c>
      <c r="F89" s="592" t="s">
        <v>1443</v>
      </c>
      <c r="G89" s="1285" t="s">
        <v>1534</v>
      </c>
      <c r="H89" s="73" t="s">
        <v>399</v>
      </c>
      <c r="I89" s="960">
        <v>2</v>
      </c>
      <c r="J89" s="960">
        <v>4</v>
      </c>
      <c r="K89" s="960"/>
      <c r="L89" s="960">
        <v>10</v>
      </c>
      <c r="M89" s="855">
        <v>0.01</v>
      </c>
      <c r="N89" s="855" t="s">
        <v>294</v>
      </c>
      <c r="O89" s="91" t="s">
        <v>1534</v>
      </c>
    </row>
    <row r="90" spans="1:15" x14ac:dyDescent="0.25">
      <c r="A90" s="73" t="s">
        <v>169</v>
      </c>
      <c r="B90" s="73" t="s">
        <v>170</v>
      </c>
      <c r="C90" s="73" t="s">
        <v>170</v>
      </c>
      <c r="D90" s="73" t="s">
        <v>276</v>
      </c>
      <c r="E90" s="75"/>
      <c r="F90" s="592" t="s">
        <v>1302</v>
      </c>
      <c r="G90" s="1285" t="s">
        <v>1534</v>
      </c>
      <c r="H90" s="76" t="s">
        <v>401</v>
      </c>
      <c r="I90" s="960">
        <v>190</v>
      </c>
      <c r="J90" s="960"/>
      <c r="K90" s="960"/>
      <c r="L90" s="960"/>
      <c r="M90" s="960">
        <v>2</v>
      </c>
      <c r="N90" s="855" t="s">
        <v>294</v>
      </c>
      <c r="O90" s="91" t="s">
        <v>1534</v>
      </c>
    </row>
    <row r="91" spans="1:15" x14ac:dyDescent="0.25">
      <c r="A91" s="73" t="s">
        <v>171</v>
      </c>
      <c r="B91" s="73" t="s">
        <v>123</v>
      </c>
      <c r="C91" s="73" t="s">
        <v>123</v>
      </c>
      <c r="D91" s="73" t="s">
        <v>123</v>
      </c>
      <c r="E91" s="75"/>
      <c r="F91" s="592" t="s">
        <v>1302</v>
      </c>
      <c r="G91" s="1285" t="s">
        <v>1534</v>
      </c>
      <c r="H91" s="76" t="s">
        <v>402</v>
      </c>
      <c r="I91" s="960">
        <v>10</v>
      </c>
      <c r="J91" s="960">
        <v>50</v>
      </c>
      <c r="K91" s="960">
        <v>28</v>
      </c>
      <c r="L91" s="960">
        <v>800</v>
      </c>
      <c r="M91" s="960">
        <v>0.1</v>
      </c>
      <c r="N91" s="855" t="s">
        <v>294</v>
      </c>
      <c r="O91" s="91" t="s">
        <v>1534</v>
      </c>
    </row>
    <row r="92" spans="1:15" x14ac:dyDescent="0.25">
      <c r="A92" s="73" t="s">
        <v>172</v>
      </c>
      <c r="B92" s="73" t="s">
        <v>173</v>
      </c>
      <c r="C92" s="73" t="s">
        <v>173</v>
      </c>
      <c r="D92" s="73" t="s">
        <v>180</v>
      </c>
      <c r="E92" s="75"/>
      <c r="F92" s="592" t="s">
        <v>1302</v>
      </c>
      <c r="G92" s="1285" t="s">
        <v>1534</v>
      </c>
      <c r="H92" s="76" t="s">
        <v>403</v>
      </c>
      <c r="I92" s="960">
        <v>20</v>
      </c>
      <c r="J92" s="960"/>
      <c r="K92" s="960"/>
      <c r="L92" s="960"/>
      <c r="M92" s="960">
        <v>0.1</v>
      </c>
      <c r="N92" s="855" t="s">
        <v>294</v>
      </c>
      <c r="O92" s="91" t="s">
        <v>1534</v>
      </c>
    </row>
    <row r="93" spans="1:15" x14ac:dyDescent="0.25">
      <c r="A93" s="73" t="s">
        <v>174</v>
      </c>
      <c r="B93" s="73" t="s">
        <v>175</v>
      </c>
      <c r="C93" s="73" t="s">
        <v>175</v>
      </c>
      <c r="D93" s="73"/>
      <c r="E93" s="75"/>
      <c r="F93" s="592" t="s">
        <v>1302</v>
      </c>
      <c r="G93" s="1285" t="s">
        <v>1534</v>
      </c>
      <c r="H93" s="76" t="s">
        <v>410</v>
      </c>
      <c r="I93" s="855">
        <v>6</v>
      </c>
      <c r="J93" s="960"/>
      <c r="K93" s="960"/>
      <c r="L93" s="960">
        <v>1</v>
      </c>
      <c r="M93" s="855">
        <v>5</v>
      </c>
      <c r="N93" s="855" t="s">
        <v>294</v>
      </c>
      <c r="O93" s="91" t="s">
        <v>1534</v>
      </c>
    </row>
    <row r="94" spans="1:15" x14ac:dyDescent="0.25">
      <c r="A94" s="73" t="s">
        <v>176</v>
      </c>
      <c r="B94" s="73" t="s">
        <v>131</v>
      </c>
      <c r="C94" s="73" t="s">
        <v>131</v>
      </c>
      <c r="D94" s="73"/>
      <c r="E94" s="75"/>
      <c r="F94" s="592" t="s">
        <v>1302</v>
      </c>
      <c r="G94" s="1285" t="s">
        <v>1534</v>
      </c>
      <c r="H94" s="76" t="s">
        <v>404</v>
      </c>
      <c r="I94" s="960">
        <v>20</v>
      </c>
      <c r="J94" s="960"/>
      <c r="K94" s="960"/>
      <c r="L94" s="960">
        <v>600</v>
      </c>
      <c r="M94" s="960">
        <v>0.1</v>
      </c>
      <c r="N94" s="855" t="s">
        <v>294</v>
      </c>
      <c r="O94" s="91" t="s">
        <v>1534</v>
      </c>
    </row>
    <row r="95" spans="1:15" x14ac:dyDescent="0.25">
      <c r="A95" s="73" t="s">
        <v>205</v>
      </c>
      <c r="B95" s="73" t="s">
        <v>136</v>
      </c>
      <c r="C95" s="73" t="s">
        <v>136</v>
      </c>
      <c r="D95" s="73" t="s">
        <v>186</v>
      </c>
      <c r="E95" s="75"/>
      <c r="F95" s="592" t="s">
        <v>1302</v>
      </c>
      <c r="G95" s="1285" t="s">
        <v>1534</v>
      </c>
      <c r="H95" s="76" t="s">
        <v>405</v>
      </c>
      <c r="I95" s="960">
        <v>9</v>
      </c>
      <c r="J95" s="960"/>
      <c r="K95" s="960"/>
      <c r="L95" s="960">
        <v>10</v>
      </c>
      <c r="M95" s="960">
        <v>2</v>
      </c>
      <c r="N95" s="855" t="s">
        <v>294</v>
      </c>
      <c r="O95" s="91" t="s">
        <v>1534</v>
      </c>
    </row>
    <row r="96" spans="1:15" x14ac:dyDescent="0.25">
      <c r="A96" s="73" t="s">
        <v>177</v>
      </c>
      <c r="B96" s="73" t="s">
        <v>140</v>
      </c>
      <c r="C96" s="73" t="s">
        <v>140</v>
      </c>
      <c r="D96" s="73" t="s">
        <v>277</v>
      </c>
      <c r="E96" s="75"/>
      <c r="F96" s="592" t="s">
        <v>1302</v>
      </c>
      <c r="G96" s="1285" t="s">
        <v>1534</v>
      </c>
      <c r="H96" s="76" t="s">
        <v>406</v>
      </c>
      <c r="I96" s="960">
        <v>20</v>
      </c>
      <c r="J96" s="960"/>
      <c r="K96" s="960"/>
      <c r="L96" s="960">
        <v>300</v>
      </c>
      <c r="M96" s="960">
        <v>10</v>
      </c>
      <c r="N96" s="855" t="s">
        <v>294</v>
      </c>
      <c r="O96" s="91" t="s">
        <v>1534</v>
      </c>
    </row>
    <row r="97" spans="1:15" x14ac:dyDescent="0.25">
      <c r="A97" s="73" t="s">
        <v>178</v>
      </c>
      <c r="B97" s="73" t="s">
        <v>44</v>
      </c>
      <c r="C97" s="73" t="s">
        <v>44</v>
      </c>
      <c r="D97" s="73"/>
      <c r="E97" s="75"/>
      <c r="F97" s="592" t="s">
        <v>1302</v>
      </c>
      <c r="G97" s="1285" t="s">
        <v>1534</v>
      </c>
      <c r="H97" s="76" t="s">
        <v>407</v>
      </c>
      <c r="I97" s="960">
        <v>20</v>
      </c>
      <c r="J97" s="960"/>
      <c r="K97" s="960"/>
      <c r="L97" s="1053">
        <v>1000</v>
      </c>
      <c r="M97" s="960">
        <v>10</v>
      </c>
      <c r="N97" s="855" t="s">
        <v>294</v>
      </c>
      <c r="O97" s="91" t="s">
        <v>1534</v>
      </c>
    </row>
    <row r="98" spans="1:15" x14ac:dyDescent="0.25">
      <c r="A98" s="73" t="s">
        <v>179</v>
      </c>
      <c r="B98" s="73" t="s">
        <v>180</v>
      </c>
      <c r="C98" s="73" t="s">
        <v>180</v>
      </c>
      <c r="D98" s="73" t="s">
        <v>278</v>
      </c>
      <c r="E98" s="75"/>
      <c r="F98" s="592" t="s">
        <v>1302</v>
      </c>
      <c r="G98" s="1285" t="s">
        <v>1534</v>
      </c>
      <c r="H98" s="76" t="s">
        <v>408</v>
      </c>
      <c r="I98" s="960">
        <v>2</v>
      </c>
      <c r="J98" s="960">
        <v>10</v>
      </c>
      <c r="K98" s="960">
        <v>0.5</v>
      </c>
      <c r="L98" s="960"/>
      <c r="M98" s="960">
        <v>1</v>
      </c>
      <c r="N98" s="855" t="s">
        <v>294</v>
      </c>
      <c r="O98" s="91" t="s">
        <v>1534</v>
      </c>
    </row>
    <row r="99" spans="1:15" x14ac:dyDescent="0.25">
      <c r="A99" s="73" t="s">
        <v>181</v>
      </c>
      <c r="B99" s="73" t="s">
        <v>138</v>
      </c>
      <c r="C99" s="73" t="s">
        <v>138</v>
      </c>
      <c r="D99" s="73" t="s">
        <v>279</v>
      </c>
      <c r="E99" s="75"/>
      <c r="F99" s="592" t="s">
        <v>1302</v>
      </c>
      <c r="G99" s="1285" t="s">
        <v>1534</v>
      </c>
      <c r="H99" s="76" t="s">
        <v>409</v>
      </c>
      <c r="I99" s="960">
        <v>20</v>
      </c>
      <c r="J99" s="960">
        <v>45</v>
      </c>
      <c r="K99" s="960"/>
      <c r="L99" s="960">
        <v>500</v>
      </c>
      <c r="M99" s="960">
        <v>0.1</v>
      </c>
      <c r="N99" s="855" t="s">
        <v>294</v>
      </c>
      <c r="O99" s="91" t="s">
        <v>1534</v>
      </c>
    </row>
    <row r="100" spans="1:15" x14ac:dyDescent="0.25">
      <c r="A100" s="73" t="s">
        <v>182</v>
      </c>
      <c r="B100" s="73" t="s">
        <v>129</v>
      </c>
      <c r="C100" s="73" t="s">
        <v>129</v>
      </c>
      <c r="D100" s="73" t="s">
        <v>129</v>
      </c>
      <c r="E100" s="75"/>
      <c r="F100" s="592" t="s">
        <v>1302</v>
      </c>
      <c r="G100" s="1285" t="s">
        <v>1534</v>
      </c>
      <c r="H100" s="1055"/>
      <c r="I100" s="1648" t="s">
        <v>400</v>
      </c>
      <c r="J100" s="1649"/>
      <c r="K100" s="1649"/>
      <c r="L100" s="1649"/>
      <c r="M100" s="1649"/>
      <c r="N100" s="1650"/>
    </row>
    <row r="101" spans="1:15" ht="30" x14ac:dyDescent="0.25">
      <c r="A101" s="73" t="s">
        <v>183</v>
      </c>
      <c r="B101" s="73" t="s">
        <v>184</v>
      </c>
      <c r="C101" s="73" t="s">
        <v>184</v>
      </c>
      <c r="D101" s="73" t="s">
        <v>184</v>
      </c>
      <c r="E101" s="75"/>
      <c r="F101" s="592" t="s">
        <v>1303</v>
      </c>
      <c r="G101" s="1285" t="s">
        <v>1534</v>
      </c>
      <c r="H101" s="89" t="s">
        <v>411</v>
      </c>
      <c r="I101" s="72" t="s">
        <v>413</v>
      </c>
      <c r="J101" s="960" t="s">
        <v>412</v>
      </c>
      <c r="K101" s="960"/>
      <c r="L101" s="960" t="s">
        <v>414</v>
      </c>
      <c r="M101" s="960"/>
      <c r="N101" s="855" t="s">
        <v>1263</v>
      </c>
      <c r="O101" s="91" t="s">
        <v>1534</v>
      </c>
    </row>
    <row r="102" spans="1:15" x14ac:dyDescent="0.25">
      <c r="A102" s="73" t="s">
        <v>150</v>
      </c>
      <c r="B102" s="73"/>
      <c r="C102" s="73"/>
      <c r="D102" s="73"/>
      <c r="E102" s="75"/>
      <c r="F102" s="592"/>
      <c r="G102" s="1285" t="s">
        <v>1534</v>
      </c>
      <c r="H102" s="89" t="s">
        <v>415</v>
      </c>
      <c r="I102" s="72"/>
      <c r="J102" s="960"/>
      <c r="K102" s="960"/>
      <c r="L102" s="960" t="s">
        <v>416</v>
      </c>
      <c r="M102" s="960"/>
      <c r="N102" s="855" t="s">
        <v>1263</v>
      </c>
      <c r="O102" s="91" t="s">
        <v>1534</v>
      </c>
    </row>
    <row r="103" spans="1:15" ht="30" x14ac:dyDescent="0.25">
      <c r="A103" s="73" t="s">
        <v>167</v>
      </c>
      <c r="B103" s="73" t="s">
        <v>168</v>
      </c>
      <c r="C103" s="73" t="s">
        <v>168</v>
      </c>
      <c r="D103" s="73" t="s">
        <v>168</v>
      </c>
      <c r="E103" s="75"/>
      <c r="F103" s="592" t="s">
        <v>1444</v>
      </c>
      <c r="G103" s="1285" t="s">
        <v>1534</v>
      </c>
      <c r="H103" s="89" t="s">
        <v>39</v>
      </c>
      <c r="I103" s="72" t="s">
        <v>413</v>
      </c>
      <c r="J103" s="960" t="s">
        <v>412</v>
      </c>
      <c r="K103" s="960"/>
      <c r="L103" s="960" t="s">
        <v>417</v>
      </c>
      <c r="M103" s="960"/>
      <c r="N103" s="855" t="s">
        <v>1263</v>
      </c>
      <c r="O103" s="91" t="s">
        <v>1534</v>
      </c>
    </row>
    <row r="104" spans="1:15" x14ac:dyDescent="0.25">
      <c r="A104" s="73" t="s">
        <v>185</v>
      </c>
      <c r="B104" s="73" t="s">
        <v>186</v>
      </c>
      <c r="C104" s="73" t="s">
        <v>186</v>
      </c>
      <c r="D104" s="73" t="s">
        <v>186</v>
      </c>
      <c r="E104" s="75"/>
      <c r="F104" s="592" t="s">
        <v>1302</v>
      </c>
      <c r="G104" s="1285" t="s">
        <v>1534</v>
      </c>
      <c r="H104" s="90"/>
      <c r="I104" s="1054"/>
      <c r="J104" s="1054"/>
      <c r="K104" s="1054"/>
      <c r="L104" s="1054"/>
      <c r="M104" s="1054"/>
      <c r="N104" s="87"/>
    </row>
    <row r="105" spans="1:15" x14ac:dyDescent="0.25">
      <c r="A105" s="73" t="s">
        <v>187</v>
      </c>
      <c r="B105" s="73" t="s">
        <v>188</v>
      </c>
      <c r="C105" s="73" t="s">
        <v>188</v>
      </c>
      <c r="D105" s="73" t="s">
        <v>149</v>
      </c>
      <c r="E105" s="75"/>
      <c r="F105" s="592" t="s">
        <v>1303</v>
      </c>
      <c r="G105" s="1285" t="s">
        <v>1534</v>
      </c>
      <c r="I105" s="1054"/>
      <c r="J105" s="1054"/>
      <c r="K105" s="1054"/>
      <c r="L105" s="1054"/>
      <c r="M105" s="1054"/>
      <c r="N105" s="87"/>
    </row>
    <row r="106" spans="1:15" x14ac:dyDescent="0.25">
      <c r="A106" s="73" t="s">
        <v>189</v>
      </c>
      <c r="B106" s="73" t="s">
        <v>147</v>
      </c>
      <c r="C106" s="73" t="s">
        <v>147</v>
      </c>
      <c r="D106" s="73" t="s">
        <v>147</v>
      </c>
      <c r="E106" s="75"/>
      <c r="F106" s="592" t="s">
        <v>1303</v>
      </c>
      <c r="G106" s="1285" t="s">
        <v>1534</v>
      </c>
      <c r="I106" s="198"/>
      <c r="J106" s="198"/>
      <c r="K106" s="198"/>
      <c r="L106" s="198"/>
      <c r="M106" s="198"/>
      <c r="N106" s="87"/>
    </row>
    <row r="107" spans="1:15" x14ac:dyDescent="0.25">
      <c r="A107" s="73" t="s">
        <v>190</v>
      </c>
      <c r="B107" s="73" t="s">
        <v>186</v>
      </c>
      <c r="C107" s="73" t="s">
        <v>186</v>
      </c>
      <c r="D107" s="73"/>
      <c r="E107" s="75"/>
      <c r="F107" s="592" t="s">
        <v>1302</v>
      </c>
      <c r="G107" s="1285" t="s">
        <v>1534</v>
      </c>
      <c r="I107" s="198"/>
      <c r="J107" s="198"/>
      <c r="K107" s="198"/>
      <c r="L107" s="198"/>
      <c r="M107" s="198"/>
      <c r="N107" s="87"/>
    </row>
    <row r="108" spans="1:15" x14ac:dyDescent="0.25">
      <c r="A108" s="73" t="s">
        <v>191</v>
      </c>
      <c r="B108" s="73" t="s">
        <v>173</v>
      </c>
      <c r="C108" s="73" t="s">
        <v>173</v>
      </c>
      <c r="D108" s="73" t="s">
        <v>280</v>
      </c>
      <c r="E108" s="75"/>
      <c r="F108" s="592" t="s">
        <v>1302</v>
      </c>
      <c r="G108" s="1285" t="s">
        <v>1534</v>
      </c>
      <c r="I108" s="198"/>
      <c r="J108" s="198"/>
      <c r="K108" s="198"/>
      <c r="L108" s="198"/>
      <c r="M108" s="198"/>
      <c r="N108" s="87"/>
    </row>
    <row r="109" spans="1:15" x14ac:dyDescent="0.25">
      <c r="A109" s="73" t="s">
        <v>192</v>
      </c>
      <c r="B109" s="73" t="s">
        <v>193</v>
      </c>
      <c r="C109" s="73" t="s">
        <v>193</v>
      </c>
      <c r="D109" s="73" t="s">
        <v>193</v>
      </c>
      <c r="E109" s="75"/>
      <c r="F109" s="592" t="s">
        <v>1302</v>
      </c>
      <c r="G109" s="1285" t="s">
        <v>1534</v>
      </c>
      <c r="I109" s="198"/>
      <c r="J109" s="198"/>
      <c r="K109" s="198"/>
      <c r="L109" s="198"/>
      <c r="M109" s="198"/>
      <c r="N109" s="87"/>
    </row>
    <row r="110" spans="1:15" x14ac:dyDescent="0.25">
      <c r="A110" s="73" t="s">
        <v>194</v>
      </c>
      <c r="B110" s="73" t="s">
        <v>195</v>
      </c>
      <c r="C110" s="73" t="s">
        <v>195</v>
      </c>
      <c r="D110" s="73" t="s">
        <v>281</v>
      </c>
      <c r="E110" s="75"/>
      <c r="F110" s="592" t="s">
        <v>1445</v>
      </c>
      <c r="G110" s="1285" t="s">
        <v>1534</v>
      </c>
      <c r="I110" s="198"/>
      <c r="J110" s="198"/>
      <c r="K110" s="198"/>
      <c r="L110" s="198"/>
      <c r="M110" s="198"/>
      <c r="N110" s="87"/>
    </row>
    <row r="111" spans="1:15" x14ac:dyDescent="0.25">
      <c r="A111" s="73" t="s">
        <v>196</v>
      </c>
      <c r="B111" s="73" t="s">
        <v>154</v>
      </c>
      <c r="C111" s="73" t="s">
        <v>154</v>
      </c>
      <c r="D111" s="73"/>
      <c r="E111" s="75"/>
      <c r="F111" s="592" t="s">
        <v>1303</v>
      </c>
      <c r="G111" s="1285" t="s">
        <v>1534</v>
      </c>
      <c r="I111" s="198"/>
      <c r="J111" s="198"/>
      <c r="K111" s="198"/>
      <c r="L111" s="198"/>
      <c r="M111" s="198"/>
      <c r="N111" s="87"/>
    </row>
    <row r="112" spans="1:15" x14ac:dyDescent="0.25">
      <c r="A112" s="73" t="s">
        <v>197</v>
      </c>
      <c r="B112" s="73" t="s">
        <v>198</v>
      </c>
      <c r="C112" s="73" t="s">
        <v>198</v>
      </c>
      <c r="D112" s="73" t="s">
        <v>198</v>
      </c>
      <c r="E112" s="75"/>
      <c r="F112" s="592" t="s">
        <v>1303</v>
      </c>
      <c r="G112" s="1285" t="s">
        <v>1534</v>
      </c>
      <c r="I112" s="198"/>
      <c r="J112" s="198"/>
      <c r="K112" s="198"/>
      <c r="L112" s="198"/>
      <c r="M112" s="198"/>
      <c r="N112" s="87"/>
    </row>
    <row r="113" spans="1:14" x14ac:dyDescent="0.25">
      <c r="A113" s="73" t="s">
        <v>199</v>
      </c>
      <c r="B113" s="73" t="s">
        <v>147</v>
      </c>
      <c r="C113" s="73" t="s">
        <v>147</v>
      </c>
      <c r="D113" s="73" t="s">
        <v>147</v>
      </c>
      <c r="E113" s="75"/>
      <c r="F113" s="592" t="s">
        <v>1303</v>
      </c>
      <c r="G113" s="1285" t="s">
        <v>1534</v>
      </c>
      <c r="I113" s="198"/>
      <c r="J113" s="198"/>
      <c r="K113" s="198"/>
      <c r="L113" s="198"/>
      <c r="M113" s="198"/>
      <c r="N113" s="87"/>
    </row>
    <row r="114" spans="1:14" x14ac:dyDescent="0.25">
      <c r="A114" s="73" t="s">
        <v>200</v>
      </c>
      <c r="B114" s="73" t="s">
        <v>201</v>
      </c>
      <c r="C114" s="73" t="s">
        <v>201</v>
      </c>
      <c r="D114" s="73"/>
      <c r="E114" s="75"/>
      <c r="F114" s="592" t="s">
        <v>1302</v>
      </c>
      <c r="G114" s="1285" t="s">
        <v>1534</v>
      </c>
      <c r="I114" s="198"/>
      <c r="J114" s="198"/>
      <c r="K114" s="198"/>
      <c r="L114" s="198"/>
      <c r="M114" s="198"/>
      <c r="N114" s="87"/>
    </row>
    <row r="115" spans="1:14" x14ac:dyDescent="0.25">
      <c r="A115" s="1045" t="s">
        <v>202</v>
      </c>
      <c r="B115" s="73" t="s">
        <v>203</v>
      </c>
      <c r="C115" s="73" t="s">
        <v>203</v>
      </c>
      <c r="D115" s="73"/>
      <c r="E115" s="75"/>
      <c r="F115" s="592" t="s">
        <v>1302</v>
      </c>
      <c r="G115" s="1285" t="s">
        <v>1534</v>
      </c>
    </row>
    <row r="116" spans="1:14" x14ac:dyDescent="0.25">
      <c r="A116" s="1049"/>
      <c r="B116" s="1657" t="s">
        <v>204</v>
      </c>
      <c r="C116" s="1657"/>
      <c r="D116" s="1657"/>
      <c r="E116" s="1657"/>
      <c r="F116" s="1657"/>
      <c r="G116" s="1288"/>
    </row>
    <row r="117" spans="1:14" x14ac:dyDescent="0.25">
      <c r="A117" s="1047"/>
      <c r="B117" s="1654" t="s">
        <v>116</v>
      </c>
      <c r="C117" s="1655"/>
      <c r="D117" s="1655"/>
      <c r="E117" s="1655"/>
      <c r="F117" s="1656"/>
    </row>
    <row r="118" spans="1:14" x14ac:dyDescent="0.25">
      <c r="A118" s="1046" t="s">
        <v>54</v>
      </c>
      <c r="B118" s="73" t="s">
        <v>206</v>
      </c>
      <c r="C118" s="73" t="s">
        <v>206</v>
      </c>
      <c r="D118" s="73"/>
      <c r="E118" s="75"/>
      <c r="F118" s="592" t="s">
        <v>1446</v>
      </c>
      <c r="G118" s="1285" t="s">
        <v>1534</v>
      </c>
    </row>
    <row r="119" spans="1:14" x14ac:dyDescent="0.25">
      <c r="A119" s="1048"/>
      <c r="B119" s="1654" t="s">
        <v>117</v>
      </c>
      <c r="C119" s="1655"/>
      <c r="D119" s="1655"/>
      <c r="E119" s="1655"/>
      <c r="F119" s="1656"/>
    </row>
    <row r="120" spans="1:14" x14ac:dyDescent="0.25">
      <c r="A120" s="73" t="s">
        <v>128</v>
      </c>
      <c r="B120" s="76" t="s">
        <v>207</v>
      </c>
      <c r="C120" s="76" t="s">
        <v>207</v>
      </c>
      <c r="D120" s="73"/>
      <c r="E120" s="75"/>
      <c r="F120" s="592" t="s">
        <v>1302</v>
      </c>
      <c r="G120" s="1285" t="s">
        <v>1534</v>
      </c>
    </row>
    <row r="121" spans="1:14" x14ac:dyDescent="0.25">
      <c r="A121" s="73" t="s">
        <v>130</v>
      </c>
      <c r="B121" s="76" t="s">
        <v>208</v>
      </c>
      <c r="C121" s="76" t="s">
        <v>208</v>
      </c>
      <c r="D121" s="73"/>
      <c r="E121" s="75"/>
      <c r="F121" s="592" t="s">
        <v>1302</v>
      </c>
      <c r="G121" s="1285" t="s">
        <v>1534</v>
      </c>
    </row>
    <row r="122" spans="1:14" x14ac:dyDescent="0.25">
      <c r="A122" s="73" t="s">
        <v>132</v>
      </c>
      <c r="B122" s="76" t="s">
        <v>208</v>
      </c>
      <c r="C122" s="76" t="s">
        <v>208</v>
      </c>
      <c r="D122" s="73"/>
      <c r="E122" s="75"/>
      <c r="F122" s="592" t="s">
        <v>1302</v>
      </c>
      <c r="G122" s="1285" t="s">
        <v>1534</v>
      </c>
    </row>
    <row r="123" spans="1:14" x14ac:dyDescent="0.25">
      <c r="A123" s="73" t="s">
        <v>133</v>
      </c>
      <c r="B123" s="76" t="s">
        <v>208</v>
      </c>
      <c r="C123" s="76" t="s">
        <v>208</v>
      </c>
      <c r="D123" s="73"/>
      <c r="E123" s="75"/>
      <c r="F123" s="592" t="s">
        <v>1302</v>
      </c>
      <c r="G123" s="1285" t="s">
        <v>1534</v>
      </c>
    </row>
    <row r="124" spans="1:14" x14ac:dyDescent="0.25">
      <c r="A124" s="73" t="s">
        <v>134</v>
      </c>
      <c r="B124" s="76" t="s">
        <v>208</v>
      </c>
      <c r="C124" s="76" t="s">
        <v>208</v>
      </c>
      <c r="D124" s="73"/>
      <c r="E124" s="75"/>
      <c r="F124" s="592" t="s">
        <v>1302</v>
      </c>
      <c r="G124" s="1285" t="s">
        <v>1534</v>
      </c>
    </row>
    <row r="125" spans="1:14" x14ac:dyDescent="0.25">
      <c r="A125" s="73" t="s">
        <v>141</v>
      </c>
      <c r="B125" s="76" t="s">
        <v>208</v>
      </c>
      <c r="C125" s="76" t="s">
        <v>208</v>
      </c>
      <c r="D125" s="73"/>
      <c r="E125" s="75"/>
      <c r="F125" s="592" t="s">
        <v>1302</v>
      </c>
      <c r="G125" s="1285" t="s">
        <v>1534</v>
      </c>
    </row>
    <row r="126" spans="1:14" x14ac:dyDescent="0.25">
      <c r="A126" s="73" t="s">
        <v>145</v>
      </c>
      <c r="B126" s="76" t="s">
        <v>208</v>
      </c>
      <c r="C126" s="76" t="s">
        <v>208</v>
      </c>
      <c r="D126" s="73"/>
      <c r="E126" s="75"/>
      <c r="F126" s="592" t="s">
        <v>1302</v>
      </c>
      <c r="G126" s="1285" t="s">
        <v>1534</v>
      </c>
    </row>
    <row r="127" spans="1:14" x14ac:dyDescent="0.25">
      <c r="A127" s="73" t="s">
        <v>209</v>
      </c>
      <c r="B127" s="76" t="s">
        <v>210</v>
      </c>
      <c r="C127" s="76" t="s">
        <v>210</v>
      </c>
      <c r="D127" s="73"/>
      <c r="E127" s="75"/>
      <c r="F127" s="592" t="s">
        <v>1302</v>
      </c>
      <c r="G127" s="1285" t="s">
        <v>1534</v>
      </c>
    </row>
    <row r="128" spans="1:14" x14ac:dyDescent="0.25">
      <c r="A128" s="73" t="s">
        <v>211</v>
      </c>
      <c r="B128" s="76" t="s">
        <v>212</v>
      </c>
      <c r="C128" s="76" t="s">
        <v>212</v>
      </c>
      <c r="D128" s="73"/>
      <c r="E128" s="75"/>
      <c r="F128" s="592" t="s">
        <v>1302</v>
      </c>
      <c r="G128" s="1285" t="s">
        <v>1534</v>
      </c>
    </row>
    <row r="129" spans="1:7" x14ac:dyDescent="0.25">
      <c r="A129" s="73" t="s">
        <v>174</v>
      </c>
      <c r="B129" s="76" t="s">
        <v>213</v>
      </c>
      <c r="C129" s="76" t="s">
        <v>213</v>
      </c>
      <c r="D129" s="73"/>
      <c r="E129" s="75"/>
      <c r="F129" s="592" t="s">
        <v>1302</v>
      </c>
      <c r="G129" s="1285" t="s">
        <v>1534</v>
      </c>
    </row>
    <row r="130" spans="1:7" x14ac:dyDescent="0.25">
      <c r="A130" s="73" t="s">
        <v>176</v>
      </c>
      <c r="B130" s="76" t="s">
        <v>208</v>
      </c>
      <c r="C130" s="76" t="s">
        <v>208</v>
      </c>
      <c r="D130" s="73"/>
      <c r="E130" s="75"/>
      <c r="F130" s="592" t="s">
        <v>1302</v>
      </c>
      <c r="G130" s="1285" t="s">
        <v>1534</v>
      </c>
    </row>
    <row r="131" spans="1:7" x14ac:dyDescent="0.25">
      <c r="A131" s="73" t="s">
        <v>182</v>
      </c>
      <c r="B131" s="76" t="s">
        <v>214</v>
      </c>
      <c r="C131" s="76" t="s">
        <v>214</v>
      </c>
      <c r="D131" s="73"/>
      <c r="E131" s="75"/>
      <c r="F131" s="592" t="s">
        <v>1302</v>
      </c>
      <c r="G131" s="1285" t="s">
        <v>1534</v>
      </c>
    </row>
    <row r="132" spans="1:7" x14ac:dyDescent="0.25">
      <c r="A132" s="73" t="s">
        <v>183</v>
      </c>
      <c r="B132" s="76" t="s">
        <v>215</v>
      </c>
      <c r="C132" s="76" t="s">
        <v>215</v>
      </c>
      <c r="D132" s="73"/>
      <c r="E132" s="75"/>
      <c r="F132" s="592" t="s">
        <v>1302</v>
      </c>
      <c r="G132" s="1285" t="s">
        <v>1534</v>
      </c>
    </row>
    <row r="133" spans="1:7" x14ac:dyDescent="0.25">
      <c r="A133" s="73" t="s">
        <v>187</v>
      </c>
      <c r="B133" s="76" t="s">
        <v>216</v>
      </c>
      <c r="C133" s="76" t="s">
        <v>216</v>
      </c>
      <c r="D133" s="73"/>
      <c r="E133" s="75"/>
      <c r="F133" s="592" t="s">
        <v>1302</v>
      </c>
      <c r="G133" s="1285" t="s">
        <v>1534</v>
      </c>
    </row>
    <row r="134" spans="1:7" x14ac:dyDescent="0.25">
      <c r="A134" s="73" t="s">
        <v>217</v>
      </c>
      <c r="B134" s="76" t="s">
        <v>218</v>
      </c>
      <c r="C134" s="76" t="s">
        <v>218</v>
      </c>
      <c r="D134" s="73"/>
      <c r="E134" s="75"/>
      <c r="F134" s="592" t="s">
        <v>1302</v>
      </c>
      <c r="G134" s="1285" t="s">
        <v>1534</v>
      </c>
    </row>
    <row r="135" spans="1:7" x14ac:dyDescent="0.25">
      <c r="A135" s="73" t="s">
        <v>191</v>
      </c>
      <c r="B135" s="76" t="s">
        <v>219</v>
      </c>
      <c r="C135" s="76" t="s">
        <v>219</v>
      </c>
      <c r="D135" s="73"/>
      <c r="E135" s="75"/>
      <c r="F135" s="592" t="s">
        <v>1302</v>
      </c>
      <c r="G135" s="1285" t="s">
        <v>1534</v>
      </c>
    </row>
    <row r="136" spans="1:7" x14ac:dyDescent="0.25">
      <c r="A136" s="73" t="s">
        <v>220</v>
      </c>
      <c r="B136" s="76" t="s">
        <v>221</v>
      </c>
      <c r="C136" s="76" t="s">
        <v>221</v>
      </c>
      <c r="D136" s="73"/>
      <c r="E136" s="75"/>
      <c r="F136" s="592" t="s">
        <v>1302</v>
      </c>
      <c r="G136" s="1285" t="s">
        <v>1534</v>
      </c>
    </row>
    <row r="137" spans="1:7" x14ac:dyDescent="0.25"/>
    <row r="138" spans="1:7" x14ac:dyDescent="0.25"/>
    <row r="139" spans="1:7" x14ac:dyDescent="0.25"/>
    <row r="140" spans="1:7" x14ac:dyDescent="0.25"/>
    <row r="141" spans="1:7" hidden="1" x14ac:dyDescent="0.25">
      <c r="A141" s="10" t="s">
        <v>12</v>
      </c>
    </row>
    <row r="142" spans="1:7" hidden="1" x14ac:dyDescent="0.25">
      <c r="A142" s="10" t="s">
        <v>1261</v>
      </c>
    </row>
    <row r="143" spans="1:7" hidden="1" x14ac:dyDescent="0.25">
      <c r="A143" s="10" t="s">
        <v>1262</v>
      </c>
    </row>
    <row r="144" spans="1:7" x14ac:dyDescent="0.25"/>
  </sheetData>
  <sheetProtection sheet="1" objects="1" scenarios="1" selectLockedCells="1" selectUnlockedCells="1"/>
  <mergeCells count="17">
    <mergeCell ref="I8:N8"/>
    <mergeCell ref="I6:L6"/>
    <mergeCell ref="A3:F3"/>
    <mergeCell ref="A6:F6"/>
    <mergeCell ref="H3:N3"/>
    <mergeCell ref="N6:N7"/>
    <mergeCell ref="B20:F20"/>
    <mergeCell ref="B24:F24"/>
    <mergeCell ref="B61:F61"/>
    <mergeCell ref="A50:A53"/>
    <mergeCell ref="A1:H1"/>
    <mergeCell ref="I100:N100"/>
    <mergeCell ref="I70:N70"/>
    <mergeCell ref="I40:N40"/>
    <mergeCell ref="B117:F117"/>
    <mergeCell ref="B119:F119"/>
    <mergeCell ref="B116:F116"/>
  </mergeCells>
  <pageMargins left="0.511811024" right="0.511811024" top="0.78740157499999996" bottom="0.78740157499999996" header="0.31496062000000002" footer="0.31496062000000002"/>
  <drawing r:id="rId1"/>
  <legacyDrawing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enableFormatConditionsCalculation="0">
    <tabColor rgb="FF00A039"/>
  </sheetPr>
  <dimension ref="A1:EO44"/>
  <sheetViews>
    <sheetView showGridLines="0" workbookViewId="0"/>
  </sheetViews>
  <sheetFormatPr defaultColWidth="8.85546875" defaultRowHeight="15" x14ac:dyDescent="0.25"/>
  <cols>
    <col min="1" max="1" width="3.140625" customWidth="1"/>
    <col min="2" max="2" width="3" customWidth="1"/>
    <col min="3" max="3" width="12" customWidth="1"/>
    <col min="4" max="15" width="14.7109375" customWidth="1"/>
  </cols>
  <sheetData>
    <row r="1" spans="1:145" s="272" customFormat="1" ht="18.75" x14ac:dyDescent="0.3">
      <c r="A1" s="485"/>
      <c r="B1" s="1596" t="s">
        <v>1148</v>
      </c>
      <c r="C1" s="1597"/>
      <c r="D1" s="1597"/>
      <c r="E1" s="1597"/>
      <c r="F1" s="1597"/>
      <c r="G1" s="1597"/>
      <c r="H1" s="1597"/>
      <c r="I1" s="1597"/>
      <c r="J1" s="1597"/>
      <c r="K1" s="1597"/>
      <c r="L1" s="1597"/>
      <c r="M1" s="1597"/>
      <c r="N1" s="1597"/>
      <c r="O1" s="485"/>
      <c r="P1" s="269"/>
      <c r="Q1" s="269"/>
      <c r="R1" s="27"/>
      <c r="S1" s="509"/>
      <c r="T1" s="509"/>
      <c r="U1" s="270"/>
      <c r="V1" s="270"/>
      <c r="W1" s="270"/>
      <c r="X1" s="270"/>
      <c r="Y1" s="270"/>
      <c r="Z1" s="270"/>
      <c r="AA1" s="270"/>
      <c r="AB1" s="270"/>
      <c r="AC1" s="271"/>
      <c r="AD1" s="270"/>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c r="BL1" s="270"/>
      <c r="BM1" s="270"/>
      <c r="BN1" s="270"/>
      <c r="BO1" s="270"/>
      <c r="BP1" s="270"/>
      <c r="BQ1" s="270"/>
      <c r="BR1" s="270"/>
      <c r="BS1" s="270"/>
      <c r="BT1" s="270"/>
      <c r="BU1" s="270"/>
      <c r="BV1" s="270"/>
      <c r="BW1" s="270"/>
      <c r="BX1" s="270"/>
      <c r="BY1" s="270"/>
      <c r="BZ1" s="270"/>
      <c r="CA1" s="270"/>
      <c r="CB1" s="270"/>
      <c r="CC1" s="270"/>
      <c r="CD1" s="270"/>
      <c r="CE1" s="270"/>
      <c r="CF1" s="270"/>
      <c r="CG1" s="270"/>
      <c r="CH1" s="270"/>
      <c r="CI1" s="270"/>
      <c r="CJ1" s="270"/>
      <c r="CK1" s="270"/>
      <c r="CL1" s="270"/>
      <c r="CM1" s="270"/>
      <c r="CN1" s="270"/>
      <c r="CO1" s="270"/>
      <c r="CP1" s="270"/>
      <c r="CQ1" s="270"/>
      <c r="CR1" s="270"/>
      <c r="CS1" s="270"/>
      <c r="CT1" s="270"/>
      <c r="CU1" s="270"/>
      <c r="CV1" s="270"/>
      <c r="CW1" s="270"/>
      <c r="CX1" s="270"/>
      <c r="CY1" s="270"/>
      <c r="CZ1" s="270"/>
      <c r="DA1" s="270"/>
      <c r="DB1" s="270"/>
      <c r="DC1" s="270"/>
      <c r="DD1" s="270"/>
      <c r="DE1" s="270"/>
      <c r="DF1" s="270"/>
      <c r="DG1" s="270"/>
      <c r="DH1" s="270"/>
      <c r="DI1" s="270"/>
      <c r="DJ1" s="270"/>
      <c r="DK1" s="270"/>
      <c r="DL1" s="270"/>
      <c r="DM1" s="270"/>
      <c r="DN1" s="270"/>
      <c r="DO1" s="270"/>
      <c r="DP1" s="270"/>
      <c r="DQ1" s="270"/>
      <c r="DR1" s="270"/>
      <c r="DS1" s="270"/>
      <c r="DT1" s="270"/>
      <c r="DU1" s="270"/>
      <c r="DV1" s="270"/>
      <c r="DW1" s="270"/>
      <c r="DX1" s="270"/>
      <c r="DY1" s="270"/>
      <c r="DZ1" s="270"/>
      <c r="EA1" s="270"/>
      <c r="EB1" s="270"/>
      <c r="EC1" s="270"/>
      <c r="ED1" s="270"/>
      <c r="EE1" s="270"/>
      <c r="EF1" s="270"/>
      <c r="EG1" s="270"/>
      <c r="EH1" s="270"/>
      <c r="EI1" s="270"/>
      <c r="EJ1" s="270"/>
      <c r="EK1" s="270"/>
      <c r="EL1" s="270"/>
      <c r="EM1" s="270"/>
      <c r="EN1" s="270"/>
      <c r="EO1" s="270"/>
    </row>
    <row r="2" spans="1:145" s="205" customFormat="1" ht="18.75" x14ac:dyDescent="0.3">
      <c r="A2" s="230"/>
      <c r="B2" s="229"/>
      <c r="C2" s="239" t="s">
        <v>1259</v>
      </c>
      <c r="D2" s="230"/>
      <c r="E2" s="230"/>
      <c r="F2" s="230"/>
      <c r="G2" s="230"/>
      <c r="H2" s="230"/>
      <c r="I2" s="230"/>
      <c r="J2" s="230"/>
      <c r="K2" s="262"/>
      <c r="L2" s="263"/>
      <c r="M2" s="230"/>
      <c r="N2" s="228"/>
      <c r="O2" s="229"/>
      <c r="P2" s="230"/>
      <c r="Q2" s="230"/>
      <c r="R2" s="230"/>
      <c r="S2" s="230"/>
      <c r="T2" s="230"/>
      <c r="U2" s="230"/>
      <c r="AC2" s="227"/>
    </row>
    <row r="3" spans="1:145" s="205" customFormat="1" ht="46.5" customHeight="1" x14ac:dyDescent="0.25">
      <c r="A3" s="228"/>
      <c r="B3" s="230"/>
      <c r="C3" s="1608" t="s">
        <v>1593</v>
      </c>
      <c r="D3" s="1608"/>
      <c r="E3" s="1608"/>
      <c r="F3" s="1608"/>
      <c r="G3" s="1608"/>
      <c r="H3" s="1608"/>
      <c r="I3" s="1608"/>
      <c r="J3" s="1608"/>
      <c r="K3" s="1608"/>
      <c r="L3" s="1608"/>
      <c r="M3" s="230"/>
      <c r="N3" s="228"/>
      <c r="O3" s="230"/>
      <c r="P3" s="230"/>
      <c r="Q3" s="230"/>
      <c r="R3" s="230"/>
      <c r="S3" s="230"/>
      <c r="T3" s="230"/>
      <c r="U3" s="230"/>
      <c r="AC3" s="227"/>
    </row>
    <row r="4" spans="1:145" s="205" customFormat="1" x14ac:dyDescent="0.25">
      <c r="A4" s="228"/>
      <c r="B4" s="230"/>
      <c r="M4" s="230"/>
      <c r="N4" s="228"/>
      <c r="O4" s="230"/>
      <c r="P4" s="230"/>
      <c r="Q4" s="230"/>
      <c r="R4" s="230"/>
      <c r="S4" s="230"/>
      <c r="T4" s="230"/>
      <c r="U4" s="230"/>
      <c r="AC4" s="227"/>
    </row>
    <row r="5" spans="1:145" s="205" customFormat="1" ht="15.75" x14ac:dyDescent="0.25">
      <c r="A5" s="228"/>
      <c r="B5" s="1567" t="s">
        <v>495</v>
      </c>
      <c r="C5" s="1567"/>
      <c r="D5" s="1567"/>
      <c r="E5" s="1567"/>
      <c r="F5" s="1567"/>
      <c r="G5" s="1567"/>
      <c r="H5" s="1567"/>
      <c r="I5" s="1567"/>
      <c r="J5" s="1567"/>
      <c r="K5" s="1567"/>
      <c r="L5" s="1567"/>
      <c r="M5" s="1567"/>
      <c r="N5" s="1568"/>
      <c r="O5" s="230"/>
      <c r="P5" s="230"/>
      <c r="Q5" s="230"/>
      <c r="R5" s="230"/>
      <c r="S5" s="230"/>
      <c r="T5" s="230"/>
      <c r="U5" s="230"/>
    </row>
    <row r="6" spans="1:145" s="205" customFormat="1" ht="15.75" thickBot="1" x14ac:dyDescent="0.3">
      <c r="B6" s="229"/>
      <c r="C6" s="230"/>
      <c r="D6" s="1450"/>
      <c r="E6" s="1450"/>
      <c r="F6" s="1450"/>
      <c r="G6" s="1450"/>
      <c r="H6" s="1450"/>
      <c r="I6" s="1450"/>
      <c r="J6" s="1450"/>
      <c r="K6" s="1450"/>
      <c r="L6" s="1450"/>
      <c r="M6" s="1450"/>
      <c r="N6" s="228"/>
      <c r="O6" s="230"/>
      <c r="P6" s="230"/>
      <c r="Q6" s="230"/>
      <c r="R6" s="230"/>
      <c r="S6" s="230"/>
      <c r="T6" s="230"/>
    </row>
    <row r="7" spans="1:145" s="205" customFormat="1" x14ac:dyDescent="0.25">
      <c r="B7" s="229"/>
      <c r="C7" s="230"/>
      <c r="D7" s="111" t="s">
        <v>534</v>
      </c>
      <c r="E7" s="112"/>
      <c r="F7" s="112"/>
      <c r="G7" s="112"/>
      <c r="H7" s="112"/>
      <c r="I7" s="112"/>
      <c r="J7" s="1408" t="s">
        <v>504</v>
      </c>
      <c r="K7" s="1408" t="s">
        <v>30</v>
      </c>
      <c r="L7" s="1408" t="s">
        <v>536</v>
      </c>
      <c r="M7" s="1446"/>
      <c r="N7" s="238"/>
      <c r="O7" s="237"/>
      <c r="P7" s="237"/>
      <c r="Q7" s="237"/>
      <c r="R7" s="237"/>
      <c r="S7" s="237"/>
      <c r="T7" s="230"/>
      <c r="U7" s="230"/>
    </row>
    <row r="8" spans="1:145" s="205" customFormat="1" ht="15" customHeight="1" x14ac:dyDescent="0.25">
      <c r="B8" s="229"/>
      <c r="C8" s="1449"/>
      <c r="D8" s="481" t="s">
        <v>1310</v>
      </c>
      <c r="E8" s="239"/>
      <c r="F8" s="239"/>
      <c r="G8" s="239"/>
      <c r="H8" s="239"/>
      <c r="I8" s="239"/>
      <c r="J8" s="1671" t="s">
        <v>370</v>
      </c>
      <c r="K8" s="1671"/>
      <c r="L8" s="1671"/>
      <c r="M8" s="1672"/>
      <c r="N8" s="238"/>
      <c r="O8" s="237"/>
      <c r="P8" s="237"/>
      <c r="Q8" s="237"/>
      <c r="R8" s="237"/>
      <c r="S8" s="237"/>
      <c r="T8" s="230"/>
      <c r="U8" s="230"/>
    </row>
    <row r="9" spans="1:145" s="205" customFormat="1" x14ac:dyDescent="0.25">
      <c r="B9" s="229"/>
      <c r="C9" s="230"/>
      <c r="D9" s="1604" t="s">
        <v>1469</v>
      </c>
      <c r="E9" s="1605"/>
      <c r="F9" s="1605"/>
      <c r="G9" s="1605"/>
      <c r="H9" s="1605"/>
      <c r="I9" s="1605"/>
      <c r="J9" s="1075"/>
      <c r="K9" s="1075"/>
      <c r="L9" s="1677" t="str">
        <f>IF(J8="Selecione","Preencha o parâmetro e unidade","-")</f>
        <v>-</v>
      </c>
      <c r="M9" s="1678"/>
      <c r="N9" s="238"/>
      <c r="O9" s="237"/>
      <c r="P9" s="237"/>
      <c r="Q9" s="237"/>
      <c r="R9" s="237"/>
      <c r="S9" s="237"/>
      <c r="T9" s="230"/>
      <c r="U9" s="230"/>
    </row>
    <row r="10" spans="1:145" s="205" customFormat="1" ht="32.25" customHeight="1" x14ac:dyDescent="0.25">
      <c r="B10" s="229"/>
      <c r="C10" s="230"/>
      <c r="D10" s="1664" t="s">
        <v>1401</v>
      </c>
      <c r="E10" s="1608"/>
      <c r="F10" s="1608"/>
      <c r="G10" s="1608"/>
      <c r="H10" s="1608"/>
      <c r="I10" s="1608"/>
      <c r="J10" s="471"/>
      <c r="K10" s="1402" t="str">
        <f>IFERROR(IF(K9&lt;&gt;"",K9,(VLOOKUP(J8,Apoio_Efluentes!A8:C47,3,FALSE))),"")</f>
        <v>mg/L</v>
      </c>
      <c r="L10" s="1669" t="s">
        <v>1342</v>
      </c>
      <c r="M10" s="1670"/>
      <c r="N10" s="238"/>
      <c r="O10" s="237"/>
      <c r="P10" s="237"/>
      <c r="Q10" s="237"/>
      <c r="R10" s="237"/>
      <c r="S10" s="237"/>
      <c r="T10" s="230"/>
      <c r="U10" s="230"/>
    </row>
    <row r="11" spans="1:145" s="205" customFormat="1" ht="25.5" customHeight="1" x14ac:dyDescent="0.25">
      <c r="B11" s="229"/>
      <c r="C11" s="230"/>
      <c r="D11" s="1665" t="s">
        <v>1467</v>
      </c>
      <c r="E11" s="1666"/>
      <c r="F11" s="1666"/>
      <c r="G11" s="1666"/>
      <c r="H11" s="1666"/>
      <c r="I11" s="1666"/>
      <c r="J11" s="471"/>
      <c r="K11" s="1424" t="str">
        <f>IF(K10="","",K10)</f>
        <v>mg/L</v>
      </c>
      <c r="L11" s="1675" t="s">
        <v>1468</v>
      </c>
      <c r="M11" s="1676"/>
      <c r="N11" s="238"/>
      <c r="O11" s="237"/>
      <c r="P11" s="237"/>
      <c r="Q11" s="237"/>
      <c r="R11" s="237"/>
      <c r="S11" s="237"/>
      <c r="T11" s="230"/>
      <c r="U11" s="230"/>
    </row>
    <row r="12" spans="1:145" s="205" customFormat="1" ht="18" x14ac:dyDescent="0.3">
      <c r="B12" s="229"/>
      <c r="C12" s="230"/>
      <c r="D12" s="257" t="s">
        <v>1149</v>
      </c>
      <c r="E12" s="239"/>
      <c r="F12" s="239"/>
      <c r="G12" s="239"/>
      <c r="H12" s="239"/>
      <c r="I12" s="239"/>
      <c r="J12" s="470"/>
      <c r="K12" s="1384" t="s">
        <v>497</v>
      </c>
      <c r="L12" s="1673"/>
      <c r="M12" s="1674"/>
      <c r="N12" s="238"/>
      <c r="O12" s="237"/>
      <c r="P12" s="237"/>
      <c r="Q12" s="237"/>
      <c r="R12" s="237"/>
      <c r="S12" s="237"/>
      <c r="T12" s="230"/>
      <c r="U12" s="230"/>
    </row>
    <row r="13" spans="1:145" s="205" customFormat="1" ht="18" x14ac:dyDescent="0.3">
      <c r="B13" s="229"/>
      <c r="C13" s="230"/>
      <c r="D13" s="1667" t="s">
        <v>1150</v>
      </c>
      <c r="E13" s="1668"/>
      <c r="F13" s="1668"/>
      <c r="G13" s="1668"/>
      <c r="H13" s="1668"/>
      <c r="I13" s="1668"/>
      <c r="J13" s="479"/>
      <c r="K13" s="1384" t="s">
        <v>505</v>
      </c>
      <c r="L13" s="1673"/>
      <c r="M13" s="1674"/>
      <c r="N13" s="238"/>
      <c r="O13" s="237"/>
      <c r="P13" s="237"/>
      <c r="Q13" s="237"/>
      <c r="R13" s="237"/>
      <c r="S13" s="237"/>
      <c r="T13" s="230"/>
      <c r="U13" s="230"/>
    </row>
    <row r="14" spans="1:145" s="205" customFormat="1" ht="30.75" customHeight="1" thickBot="1" x14ac:dyDescent="0.35">
      <c r="B14" s="229"/>
      <c r="C14" s="230"/>
      <c r="D14" s="1681" t="s">
        <v>1151</v>
      </c>
      <c r="E14" s="1682"/>
      <c r="F14" s="1682"/>
      <c r="G14" s="1682"/>
      <c r="H14" s="1682"/>
      <c r="I14" s="1682"/>
      <c r="J14" s="497"/>
      <c r="K14" s="1447" t="s">
        <v>13</v>
      </c>
      <c r="L14" s="1683"/>
      <c r="M14" s="1684"/>
      <c r="N14" s="238"/>
      <c r="O14" s="237"/>
      <c r="P14" s="237"/>
      <c r="Q14" s="237"/>
      <c r="R14" s="237"/>
      <c r="S14" s="237"/>
      <c r="T14" s="230"/>
      <c r="U14" s="230"/>
    </row>
    <row r="15" spans="1:145" s="205" customFormat="1" x14ac:dyDescent="0.25">
      <c r="B15" s="229"/>
      <c r="C15" s="230"/>
      <c r="D15" s="237"/>
      <c r="E15" s="239"/>
      <c r="F15" s="239"/>
      <c r="G15" s="239"/>
      <c r="H15" s="239"/>
      <c r="I15" s="239"/>
      <c r="J15" s="256"/>
      <c r="K15" s="240"/>
      <c r="L15" s="230"/>
      <c r="M15" s="237"/>
      <c r="N15" s="238"/>
      <c r="O15" s="237"/>
      <c r="P15" s="237"/>
      <c r="Q15" s="237"/>
      <c r="R15" s="237"/>
      <c r="S15" s="237"/>
      <c r="T15" s="230"/>
      <c r="U15" s="230"/>
      <c r="AE15" s="230"/>
      <c r="AF15" s="230"/>
    </row>
    <row r="16" spans="1:145" s="205" customFormat="1" ht="18.75" x14ac:dyDescent="0.3">
      <c r="A16" s="228"/>
      <c r="B16" s="1567" t="s">
        <v>498</v>
      </c>
      <c r="C16" s="1567"/>
      <c r="D16" s="1567"/>
      <c r="E16" s="1567"/>
      <c r="F16" s="1567"/>
      <c r="G16" s="1567"/>
      <c r="H16" s="1567"/>
      <c r="I16" s="1567"/>
      <c r="J16" s="1567"/>
      <c r="K16" s="1567"/>
      <c r="L16" s="1567"/>
      <c r="M16" s="1567"/>
      <c r="N16" s="1568"/>
      <c r="O16" s="183"/>
      <c r="P16" s="183"/>
      <c r="Q16" s="243"/>
      <c r="R16" s="243"/>
      <c r="S16" s="243"/>
      <c r="T16" s="233"/>
      <c r="AE16" s="273"/>
      <c r="AF16" s="230"/>
    </row>
    <row r="17" spans="1:32" s="205" customFormat="1" ht="10.5" customHeight="1" x14ac:dyDescent="0.3">
      <c r="B17" s="232"/>
      <c r="C17" s="233"/>
      <c r="D17" s="243"/>
      <c r="E17" s="243"/>
      <c r="F17" s="243"/>
      <c r="G17" s="243"/>
      <c r="H17" s="243"/>
      <c r="I17" s="243"/>
      <c r="J17" s="243"/>
      <c r="K17" s="243"/>
      <c r="L17" s="243"/>
      <c r="M17" s="243"/>
      <c r="N17" s="244"/>
      <c r="O17" s="243"/>
      <c r="P17" s="243"/>
      <c r="Q17" s="243"/>
      <c r="R17" s="243"/>
      <c r="S17" s="243"/>
      <c r="T17" s="233"/>
      <c r="U17" s="230"/>
      <c r="AE17" s="273"/>
      <c r="AF17" s="230"/>
    </row>
    <row r="18" spans="1:32" s="205" customFormat="1" ht="19.5" thickBot="1" x14ac:dyDescent="0.35">
      <c r="B18" s="232"/>
      <c r="C18" s="233"/>
      <c r="D18" s="230"/>
      <c r="E18" s="230"/>
      <c r="F18" s="230"/>
      <c r="G18" s="1613" t="s">
        <v>2</v>
      </c>
      <c r="H18" s="1613"/>
      <c r="I18" s="1613"/>
      <c r="J18" s="243"/>
      <c r="K18" s="274"/>
      <c r="L18" s="274"/>
      <c r="M18" s="274"/>
      <c r="N18" s="244"/>
      <c r="O18" s="243"/>
      <c r="P18" s="243"/>
      <c r="Q18" s="243"/>
      <c r="R18" s="243"/>
      <c r="S18" s="243"/>
      <c r="T18" s="233"/>
      <c r="U18" s="230"/>
      <c r="AA18" s="230"/>
      <c r="AB18" s="231"/>
      <c r="AC18" s="275"/>
      <c r="AD18" s="230"/>
      <c r="AE18" s="273"/>
      <c r="AF18" s="230"/>
    </row>
    <row r="19" spans="1:32" s="205" customFormat="1" ht="19.5" thickBot="1" x14ac:dyDescent="0.35">
      <c r="B19" s="232"/>
      <c r="C19" s="233"/>
      <c r="D19" s="1449"/>
      <c r="E19" s="230"/>
      <c r="F19" s="230"/>
      <c r="G19" s="1679" t="s">
        <v>1152</v>
      </c>
      <c r="H19" s="1680"/>
      <c r="I19" s="1076" t="str">
        <f>IF(J10="","",IF(J11&lt;J10,"N/A",J10-J11))</f>
        <v/>
      </c>
      <c r="J19" s="276" t="str">
        <f>K10</f>
        <v>mg/L</v>
      </c>
      <c r="K19" s="243"/>
      <c r="L19" s="243"/>
      <c r="M19" s="243"/>
      <c r="N19" s="244"/>
      <c r="O19" s="247"/>
      <c r="R19" s="247"/>
      <c r="S19" s="246"/>
      <c r="T19" s="233"/>
      <c r="U19" s="230"/>
      <c r="AA19" s="230"/>
      <c r="AB19" s="231"/>
      <c r="AC19" s="275"/>
      <c r="AD19" s="230"/>
      <c r="AE19" s="273"/>
      <c r="AF19" s="230"/>
    </row>
    <row r="20" spans="1:32" s="205" customFormat="1" ht="19.5" thickBot="1" x14ac:dyDescent="0.35">
      <c r="B20" s="232"/>
      <c r="C20" s="234"/>
      <c r="D20" s="230"/>
      <c r="E20" s="230"/>
      <c r="F20" s="277"/>
      <c r="G20" s="40" t="s">
        <v>506</v>
      </c>
      <c r="H20" s="1372"/>
      <c r="I20" s="1372" t="str">
        <f>IF(I19="","",IF(I19&lt;0,(J12*J13+J14)*-1,(J12*J13+J14)))</f>
        <v/>
      </c>
      <c r="J20" s="856" t="s">
        <v>13</v>
      </c>
      <c r="K20" s="278"/>
      <c r="L20" s="278"/>
      <c r="M20" s="246"/>
      <c r="N20" s="244"/>
      <c r="O20" s="243"/>
      <c r="P20" s="243"/>
      <c r="Q20" s="243"/>
      <c r="R20" s="243"/>
      <c r="S20" s="249"/>
      <c r="T20" s="233"/>
      <c r="U20" s="230"/>
      <c r="AA20" s="230"/>
      <c r="AB20" s="231"/>
      <c r="AC20" s="275"/>
      <c r="AD20" s="230"/>
      <c r="AE20" s="273"/>
      <c r="AF20" s="230"/>
    </row>
    <row r="21" spans="1:32" s="2" customFormat="1" x14ac:dyDescent="0.25">
      <c r="B21" s="51"/>
      <c r="C21" s="224"/>
      <c r="D21" s="224"/>
      <c r="E21" s="224"/>
      <c r="F21" s="224"/>
      <c r="G21" s="224"/>
      <c r="H21" s="224"/>
      <c r="I21" s="224"/>
      <c r="J21" s="224"/>
      <c r="K21" s="224"/>
      <c r="L21" s="224"/>
      <c r="M21" s="224"/>
      <c r="N21" s="4"/>
      <c r="O21" s="224"/>
      <c r="AC21" s="3"/>
    </row>
    <row r="22" spans="1:32" s="2" customFormat="1" ht="15.75" x14ac:dyDescent="0.25">
      <c r="A22" s="4"/>
      <c r="B22" s="1560" t="s">
        <v>1589</v>
      </c>
      <c r="C22" s="1561"/>
      <c r="D22" s="1561"/>
      <c r="E22" s="1561"/>
      <c r="F22" s="1561"/>
      <c r="G22" s="1561"/>
      <c r="H22" s="1561"/>
      <c r="I22" s="1561"/>
      <c r="J22" s="1561"/>
      <c r="K22" s="1561"/>
      <c r="L22" s="1561"/>
      <c r="M22" s="1561"/>
      <c r="N22" s="1562"/>
      <c r="O22" s="1381"/>
      <c r="AC22" s="3"/>
    </row>
    <row r="23" spans="1:32" s="1443" customFormat="1" x14ac:dyDescent="0.25">
      <c r="A23" s="1444"/>
      <c r="B23" s="398"/>
      <c r="C23" s="1448"/>
      <c r="D23" s="398"/>
      <c r="E23" s="398"/>
      <c r="F23" s="398"/>
      <c r="G23" s="398"/>
      <c r="H23" s="398"/>
      <c r="I23" s="398"/>
      <c r="J23" s="398"/>
      <c r="K23" s="398"/>
      <c r="L23" s="398"/>
      <c r="M23" s="398"/>
      <c r="N23" s="1444"/>
      <c r="O23" s="398"/>
      <c r="AC23" s="1445"/>
    </row>
    <row r="24" spans="1:32" s="2" customFormat="1" ht="15.75" thickBot="1" x14ac:dyDescent="0.3">
      <c r="B24" s="51"/>
      <c r="C24" s="224"/>
      <c r="D24" s="224"/>
      <c r="E24" s="224"/>
      <c r="F24" s="13" t="s">
        <v>1341</v>
      </c>
      <c r="H24" s="224"/>
      <c r="I24" s="224"/>
      <c r="J24" s="224"/>
      <c r="K24" s="224"/>
      <c r="L24" s="224"/>
      <c r="M24" s="224"/>
      <c r="N24" s="4"/>
      <c r="AC24" s="3"/>
    </row>
    <row r="25" spans="1:32" s="2" customFormat="1" ht="15.75" x14ac:dyDescent="0.25">
      <c r="B25" s="51"/>
      <c r="C25" s="224"/>
      <c r="D25" s="224"/>
      <c r="E25" s="224"/>
      <c r="F25" s="1689" t="s">
        <v>29</v>
      </c>
      <c r="G25" s="1690"/>
      <c r="H25" s="1614" t="s">
        <v>1152</v>
      </c>
      <c r="I25" s="1614"/>
      <c r="J25" s="1687" t="s">
        <v>1393</v>
      </c>
      <c r="K25" s="1688"/>
      <c r="L25" s="224"/>
      <c r="M25" s="224"/>
      <c r="N25" s="4"/>
      <c r="AC25" s="3"/>
    </row>
    <row r="26" spans="1:32" s="2" customFormat="1" x14ac:dyDescent="0.25">
      <c r="B26" s="51"/>
      <c r="C26" s="224"/>
      <c r="D26" s="224"/>
      <c r="E26" s="224"/>
      <c r="F26" s="1691"/>
      <c r="G26" s="1692"/>
      <c r="H26" s="1693"/>
      <c r="I26" s="1693"/>
      <c r="J26" s="1685"/>
      <c r="K26" s="1686"/>
      <c r="L26" s="224"/>
      <c r="M26" s="224"/>
      <c r="N26" s="4"/>
      <c r="AC26" s="3"/>
    </row>
    <row r="27" spans="1:32" s="2" customFormat="1" x14ac:dyDescent="0.25">
      <c r="B27" s="51"/>
      <c r="C27" s="224"/>
      <c r="D27" s="224"/>
      <c r="E27" s="224"/>
      <c r="F27" s="1691"/>
      <c r="G27" s="1692"/>
      <c r="H27" s="1693"/>
      <c r="I27" s="1693"/>
      <c r="J27" s="1685"/>
      <c r="K27" s="1686"/>
      <c r="L27" s="224"/>
      <c r="M27" s="224"/>
      <c r="N27" s="4"/>
      <c r="AC27" s="3"/>
    </row>
    <row r="28" spans="1:32" s="2" customFormat="1" x14ac:dyDescent="0.25">
      <c r="B28" s="51"/>
      <c r="C28" s="224"/>
      <c r="D28" s="224"/>
      <c r="E28" s="224"/>
      <c r="F28" s="1691"/>
      <c r="G28" s="1692"/>
      <c r="H28" s="1692"/>
      <c r="I28" s="1692"/>
      <c r="J28" s="1685"/>
      <c r="K28" s="1686"/>
      <c r="L28" s="224"/>
      <c r="M28" s="224"/>
      <c r="N28" s="4"/>
      <c r="AC28" s="3"/>
    </row>
    <row r="29" spans="1:32" s="2" customFormat="1" x14ac:dyDescent="0.25">
      <c r="B29" s="51"/>
      <c r="C29" s="224"/>
      <c r="D29" s="224"/>
      <c r="E29" s="224"/>
      <c r="F29" s="1691"/>
      <c r="G29" s="1692"/>
      <c r="H29" s="1692"/>
      <c r="I29" s="1692"/>
      <c r="J29" s="1685"/>
      <c r="K29" s="1686"/>
      <c r="L29" s="224"/>
      <c r="M29" s="224"/>
      <c r="N29" s="4"/>
      <c r="AC29" s="3"/>
    </row>
    <row r="30" spans="1:32" s="2" customFormat="1" x14ac:dyDescent="0.25">
      <c r="B30" s="51"/>
      <c r="C30" s="224"/>
      <c r="D30" s="224"/>
      <c r="E30" s="224"/>
      <c r="F30" s="1691"/>
      <c r="G30" s="1692"/>
      <c r="H30" s="1692"/>
      <c r="I30" s="1692"/>
      <c r="J30" s="1685"/>
      <c r="K30" s="1686"/>
      <c r="L30" s="224"/>
      <c r="M30" s="224"/>
      <c r="N30" s="4"/>
      <c r="AC30" s="3"/>
    </row>
    <row r="31" spans="1:32" s="2" customFormat="1" x14ac:dyDescent="0.25">
      <c r="B31" s="51"/>
      <c r="C31" s="224"/>
      <c r="D31" s="224"/>
      <c r="E31" s="224"/>
      <c r="F31" s="1691"/>
      <c r="G31" s="1692"/>
      <c r="H31" s="1692"/>
      <c r="I31" s="1692"/>
      <c r="J31" s="1685"/>
      <c r="K31" s="1686"/>
      <c r="L31" s="224"/>
      <c r="M31" s="224"/>
      <c r="N31" s="4"/>
      <c r="AC31" s="3"/>
    </row>
    <row r="32" spans="1:32" s="2" customFormat="1" x14ac:dyDescent="0.25">
      <c r="B32" s="51"/>
      <c r="C32" s="224"/>
      <c r="D32" s="224"/>
      <c r="E32" s="224"/>
      <c r="F32" s="1691"/>
      <c r="G32" s="1692"/>
      <c r="H32" s="1692"/>
      <c r="I32" s="1692"/>
      <c r="J32" s="1685"/>
      <c r="K32" s="1686"/>
      <c r="L32" s="224"/>
      <c r="M32" s="224"/>
      <c r="N32" s="4"/>
      <c r="AC32" s="3"/>
    </row>
    <row r="33" spans="1:52" s="2" customFormat="1" x14ac:dyDescent="0.25">
      <c r="B33" s="51"/>
      <c r="C33" s="224"/>
      <c r="D33" s="224"/>
      <c r="E33" s="224"/>
      <c r="F33" s="1691"/>
      <c r="G33" s="1692"/>
      <c r="H33" s="1692"/>
      <c r="I33" s="1692"/>
      <c r="J33" s="1685"/>
      <c r="K33" s="1686"/>
      <c r="L33" s="224"/>
      <c r="M33" s="224"/>
      <c r="N33" s="4"/>
      <c r="AC33" s="3"/>
    </row>
    <row r="34" spans="1:52" s="2" customFormat="1" x14ac:dyDescent="0.25">
      <c r="B34" s="51"/>
      <c r="C34" s="224"/>
      <c r="D34" s="224"/>
      <c r="E34" s="224"/>
      <c r="F34" s="1691"/>
      <c r="G34" s="1692"/>
      <c r="H34" s="1692"/>
      <c r="I34" s="1692"/>
      <c r="J34" s="1685"/>
      <c r="K34" s="1686"/>
      <c r="L34" s="224"/>
      <c r="M34" s="224"/>
      <c r="N34" s="4"/>
      <c r="AC34" s="3"/>
    </row>
    <row r="35" spans="1:52" s="2" customFormat="1" ht="15.75" thickBot="1" x14ac:dyDescent="0.3">
      <c r="B35" s="51"/>
      <c r="C35" s="224"/>
      <c r="D35" s="224"/>
      <c r="E35" s="224"/>
      <c r="F35" s="1696"/>
      <c r="G35" s="1697"/>
      <c r="H35" s="1697"/>
      <c r="I35" s="1697"/>
      <c r="J35" s="1694"/>
      <c r="K35" s="1695"/>
      <c r="L35" s="224"/>
      <c r="M35" s="224"/>
      <c r="N35" s="4"/>
      <c r="AC35" s="3"/>
    </row>
    <row r="36" spans="1:52" s="6" customFormat="1" ht="15.75" thickBot="1" x14ac:dyDescent="0.3">
      <c r="A36" s="2"/>
      <c r="B36" s="281"/>
      <c r="C36" s="107"/>
      <c r="D36" s="107"/>
      <c r="E36" s="107"/>
      <c r="F36" s="107"/>
      <c r="G36" s="107"/>
      <c r="H36" s="107"/>
      <c r="I36" s="107"/>
      <c r="J36" s="107"/>
      <c r="K36" s="107"/>
      <c r="L36" s="107"/>
      <c r="M36" s="107"/>
      <c r="N36" s="109"/>
      <c r="U36" s="2"/>
      <c r="V36" s="2"/>
      <c r="W36" s="2"/>
      <c r="X36" s="2"/>
      <c r="Y36" s="2"/>
      <c r="Z36" s="2"/>
      <c r="AA36" s="2"/>
      <c r="AB36" s="2"/>
      <c r="AC36" s="3"/>
      <c r="AD36" s="2"/>
      <c r="AE36" s="2"/>
      <c r="AF36" s="2"/>
      <c r="AG36" s="2"/>
      <c r="AH36" s="2"/>
      <c r="AI36" s="2"/>
      <c r="AJ36" s="2"/>
    </row>
    <row r="37" spans="1:52" s="6" customFormat="1" ht="15.75" thickTop="1" x14ac:dyDescent="0.25">
      <c r="A37" s="2"/>
      <c r="U37" s="2"/>
      <c r="V37" s="2"/>
      <c r="W37" s="2"/>
      <c r="X37" s="2"/>
      <c r="Y37" s="2"/>
      <c r="Z37" s="2"/>
      <c r="AA37" s="2"/>
      <c r="AB37" s="2"/>
      <c r="AC37" s="3"/>
      <c r="AD37" s="2"/>
      <c r="AE37" s="2"/>
      <c r="AF37" s="2"/>
      <c r="AG37" s="2"/>
      <c r="AH37" s="2"/>
      <c r="AI37" s="2"/>
      <c r="AJ37" s="2"/>
    </row>
    <row r="38" spans="1:52" s="2" customFormat="1" x14ac:dyDescent="0.25">
      <c r="B38" s="6"/>
      <c r="C38" s="6"/>
      <c r="D38" s="6"/>
      <c r="E38" s="6"/>
      <c r="F38" s="6"/>
      <c r="G38" s="6"/>
      <c r="H38" s="6"/>
      <c r="I38" s="6"/>
      <c r="J38" s="6"/>
      <c r="K38" s="6"/>
      <c r="L38" s="6"/>
      <c r="M38" s="6"/>
      <c r="N38" s="6"/>
      <c r="O38" s="6"/>
      <c r="P38" s="6"/>
      <c r="Q38" s="6"/>
      <c r="R38" s="6"/>
      <c r="S38" s="6"/>
      <c r="T38" s="6"/>
      <c r="AC38" s="3"/>
      <c r="AK38" s="6"/>
      <c r="AL38" s="6"/>
      <c r="AM38" s="6"/>
      <c r="AN38" s="6"/>
      <c r="AO38" s="6"/>
      <c r="AP38" s="6"/>
      <c r="AQ38" s="6"/>
      <c r="AR38" s="6"/>
      <c r="AS38" s="6"/>
      <c r="AT38" s="6"/>
      <c r="AU38" s="6"/>
      <c r="AV38" s="6"/>
      <c r="AW38" s="6"/>
      <c r="AX38" s="6"/>
      <c r="AY38" s="6"/>
      <c r="AZ38" s="6"/>
    </row>
    <row r="39" spans="1:52" s="2" customFormat="1" x14ac:dyDescent="0.25">
      <c r="D39" s="6"/>
      <c r="E39" s="6"/>
      <c r="F39" s="6"/>
      <c r="G39" s="6"/>
      <c r="H39" s="6"/>
      <c r="I39" s="6"/>
      <c r="J39" s="6"/>
      <c r="K39" s="6"/>
      <c r="L39" s="6"/>
      <c r="M39" s="6"/>
      <c r="N39" s="6"/>
      <c r="O39" s="6"/>
      <c r="P39" s="6"/>
      <c r="Q39" s="6"/>
      <c r="R39" s="6"/>
      <c r="S39" s="6"/>
      <c r="T39" s="6"/>
      <c r="AC39" s="3"/>
      <c r="AK39" s="6"/>
      <c r="AL39" s="6"/>
      <c r="AM39" s="6"/>
      <c r="AN39" s="6"/>
      <c r="AO39" s="6"/>
      <c r="AP39" s="6"/>
      <c r="AQ39" s="6"/>
      <c r="AR39" s="6"/>
      <c r="AS39" s="6"/>
      <c r="AT39" s="6"/>
      <c r="AU39" s="6"/>
      <c r="AV39" s="6"/>
      <c r="AW39" s="6"/>
      <c r="AX39" s="6"/>
      <c r="AY39" s="6"/>
      <c r="AZ39" s="6"/>
    </row>
    <row r="40" spans="1:52" s="2" customFormat="1" x14ac:dyDescent="0.25">
      <c r="D40" s="6"/>
      <c r="E40" s="6"/>
      <c r="F40" s="6"/>
      <c r="G40" s="6"/>
      <c r="H40" s="6"/>
      <c r="I40" s="6"/>
      <c r="J40" s="6"/>
      <c r="K40" s="6"/>
      <c r="L40" s="6"/>
      <c r="M40" s="6"/>
      <c r="N40" s="6"/>
      <c r="O40" s="6"/>
      <c r="P40" s="6"/>
      <c r="Q40" s="6"/>
      <c r="R40" s="6"/>
      <c r="S40" s="6"/>
      <c r="T40" s="6"/>
      <c r="AC40" s="3"/>
      <c r="AK40" s="6"/>
      <c r="AL40" s="6"/>
      <c r="AM40" s="6"/>
      <c r="AN40" s="6"/>
      <c r="AO40" s="6"/>
      <c r="AP40" s="6"/>
      <c r="AQ40" s="6"/>
      <c r="AR40" s="6"/>
      <c r="AS40" s="6"/>
      <c r="AT40" s="6"/>
      <c r="AU40" s="6"/>
      <c r="AV40" s="6"/>
      <c r="AW40" s="6"/>
      <c r="AX40" s="6"/>
      <c r="AY40" s="6"/>
      <c r="AZ40" s="6"/>
    </row>
    <row r="41" spans="1:52" s="2" customFormat="1" x14ac:dyDescent="0.25">
      <c r="D41" s="6"/>
      <c r="E41" s="6"/>
      <c r="F41" s="6"/>
      <c r="G41" s="6"/>
      <c r="H41" s="6"/>
      <c r="I41" s="6"/>
      <c r="J41" s="6"/>
      <c r="K41" s="6"/>
      <c r="L41" s="6"/>
      <c r="M41" s="6"/>
      <c r="N41" s="6"/>
      <c r="O41" s="6"/>
      <c r="P41" s="6"/>
      <c r="Q41" s="6"/>
      <c r="R41" s="6"/>
      <c r="S41" s="6"/>
      <c r="T41" s="6"/>
      <c r="AC41" s="3"/>
      <c r="AK41" s="6"/>
      <c r="AL41" s="6"/>
      <c r="AM41" s="6"/>
      <c r="AN41" s="6"/>
      <c r="AO41" s="6"/>
      <c r="AP41" s="6"/>
      <c r="AQ41" s="6"/>
      <c r="AR41" s="6"/>
      <c r="AS41" s="6"/>
      <c r="AT41" s="6"/>
      <c r="AU41" s="6"/>
      <c r="AV41" s="6"/>
      <c r="AW41" s="6"/>
      <c r="AX41" s="6"/>
      <c r="AY41" s="6"/>
      <c r="AZ41" s="6"/>
    </row>
    <row r="42" spans="1:52" s="2" customFormat="1" x14ac:dyDescent="0.25">
      <c r="D42" s="6"/>
      <c r="E42" s="6"/>
      <c r="F42" s="6"/>
      <c r="G42" s="6"/>
      <c r="H42" s="6"/>
      <c r="I42" s="6"/>
      <c r="J42" s="6"/>
      <c r="K42" s="6"/>
      <c r="L42" s="6"/>
      <c r="M42" s="6"/>
      <c r="N42" s="6"/>
      <c r="O42" s="6"/>
      <c r="P42" s="6"/>
      <c r="Q42" s="6"/>
      <c r="R42" s="6"/>
      <c r="S42" s="6"/>
      <c r="T42" s="6"/>
      <c r="AC42" s="3"/>
      <c r="AK42" s="6"/>
      <c r="AL42" s="6"/>
      <c r="AM42" s="6"/>
      <c r="AN42" s="6"/>
      <c r="AO42" s="6"/>
      <c r="AP42" s="6"/>
      <c r="AQ42" s="6"/>
      <c r="AR42" s="6"/>
      <c r="AS42" s="6"/>
      <c r="AT42" s="6"/>
      <c r="AU42" s="6"/>
      <c r="AV42" s="6"/>
      <c r="AW42" s="6"/>
      <c r="AX42" s="6"/>
      <c r="AY42" s="6"/>
      <c r="AZ42" s="6"/>
    </row>
    <row r="43" spans="1:52" s="2" customFormat="1" x14ac:dyDescent="0.25">
      <c r="D43" s="6"/>
      <c r="E43" s="6"/>
      <c r="F43" s="6"/>
      <c r="G43" s="6"/>
      <c r="H43" s="6"/>
      <c r="I43" s="6"/>
      <c r="J43" s="6"/>
      <c r="K43" s="6"/>
      <c r="L43" s="6"/>
      <c r="M43" s="6"/>
      <c r="N43" s="6"/>
      <c r="O43" s="6"/>
      <c r="P43" s="6"/>
      <c r="Q43" s="6"/>
      <c r="R43" s="6"/>
      <c r="S43" s="6"/>
      <c r="T43" s="6"/>
      <c r="AC43" s="3"/>
      <c r="AK43" s="6"/>
      <c r="AL43" s="6"/>
      <c r="AM43" s="6"/>
      <c r="AN43" s="6"/>
      <c r="AO43" s="6"/>
      <c r="AP43" s="6"/>
      <c r="AQ43" s="6"/>
      <c r="AR43" s="6"/>
      <c r="AS43" s="6"/>
      <c r="AT43" s="6"/>
      <c r="AU43" s="6"/>
      <c r="AV43" s="6"/>
      <c r="AW43" s="6"/>
      <c r="AX43" s="6"/>
      <c r="AY43" s="6"/>
      <c r="AZ43" s="6"/>
    </row>
    <row r="44" spans="1:52" s="2" customFormat="1" x14ac:dyDescent="0.25">
      <c r="D44" s="6"/>
      <c r="E44" s="6"/>
      <c r="F44" s="6"/>
      <c r="G44" s="6"/>
      <c r="H44" s="6"/>
      <c r="I44" s="6"/>
      <c r="J44" s="6"/>
      <c r="K44" s="6"/>
      <c r="L44" s="6"/>
      <c r="M44" s="6"/>
      <c r="N44" s="6"/>
      <c r="O44" s="6"/>
      <c r="P44" s="6"/>
      <c r="Q44" s="6"/>
      <c r="R44" s="6"/>
      <c r="S44" s="6"/>
      <c r="T44" s="6"/>
      <c r="AC44" s="3"/>
      <c r="AK44" s="6"/>
      <c r="AL44" s="6"/>
      <c r="AM44" s="6"/>
      <c r="AN44" s="6"/>
      <c r="AO44" s="6"/>
      <c r="AP44" s="6"/>
      <c r="AQ44" s="6"/>
      <c r="AR44" s="6"/>
      <c r="AS44" s="6"/>
      <c r="AT44" s="6"/>
      <c r="AU44" s="6"/>
      <c r="AV44" s="6"/>
      <c r="AW44" s="6"/>
      <c r="AX44" s="6"/>
      <c r="AY44" s="6"/>
      <c r="AZ44" s="6"/>
    </row>
  </sheetData>
  <mergeCells count="52">
    <mergeCell ref="J34:K34"/>
    <mergeCell ref="J35:K35"/>
    <mergeCell ref="F32:G32"/>
    <mergeCell ref="F33:G33"/>
    <mergeCell ref="F34:G34"/>
    <mergeCell ref="F35:G35"/>
    <mergeCell ref="H32:I32"/>
    <mergeCell ref="H33:I33"/>
    <mergeCell ref="H34:I34"/>
    <mergeCell ref="H35:I35"/>
    <mergeCell ref="J32:K32"/>
    <mergeCell ref="J33:K33"/>
    <mergeCell ref="J30:K30"/>
    <mergeCell ref="J31:K31"/>
    <mergeCell ref="F29:G29"/>
    <mergeCell ref="F30:G30"/>
    <mergeCell ref="F31:G31"/>
    <mergeCell ref="H29:I29"/>
    <mergeCell ref="H30:I30"/>
    <mergeCell ref="H31:I31"/>
    <mergeCell ref="J28:K28"/>
    <mergeCell ref="F26:G26"/>
    <mergeCell ref="F27:G27"/>
    <mergeCell ref="F28:G28"/>
    <mergeCell ref="J29:K29"/>
    <mergeCell ref="H26:I26"/>
    <mergeCell ref="H27:I27"/>
    <mergeCell ref="H28:I28"/>
    <mergeCell ref="G19:H19"/>
    <mergeCell ref="D14:I14"/>
    <mergeCell ref="L14:M14"/>
    <mergeCell ref="J26:K26"/>
    <mergeCell ref="J27:K27"/>
    <mergeCell ref="J25:K25"/>
    <mergeCell ref="F25:G25"/>
    <mergeCell ref="H25:I25"/>
    <mergeCell ref="B22:N22"/>
    <mergeCell ref="B16:N16"/>
    <mergeCell ref="G18:I18"/>
    <mergeCell ref="B1:N1"/>
    <mergeCell ref="B5:N5"/>
    <mergeCell ref="D10:I10"/>
    <mergeCell ref="D11:I11"/>
    <mergeCell ref="D13:I13"/>
    <mergeCell ref="C3:L3"/>
    <mergeCell ref="L10:M10"/>
    <mergeCell ref="J8:M8"/>
    <mergeCell ref="L12:M12"/>
    <mergeCell ref="L13:M13"/>
    <mergeCell ref="L11:M11"/>
    <mergeCell ref="D9:I9"/>
    <mergeCell ref="L9:M9"/>
  </mergeCells>
  <dataValidations count="2">
    <dataValidation allowBlank="1" showErrorMessage="1" prompt="Inserir unidade" sqref="K14:K15"/>
    <dataValidation type="list" allowBlank="1" showInputMessage="1" showErrorMessage="1" sqref="J8:M8">
      <formula1>Efluente</formula1>
    </dataValidation>
  </dataValidations>
  <hyperlinks>
    <hyperlink ref="L10" location="Apoio_Efluentes!A1" display="Para padrões de lançamento de efluentes, clique aqui."/>
  </hyperlinks>
  <pageMargins left="0.511811024" right="0.511811024" top="0.78740157499999996" bottom="0.78740157499999996" header="0.31496062000000002" footer="0.31496062000000002"/>
  <pageSetup paperSize="9" orientation="portrait" r:id="rId1"/>
  <drawing r:id="rId2"/>
  <legacyDrawing r:id="rId3"/>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20</vt:i4>
      </vt:variant>
      <vt:variant>
        <vt:lpstr>Intervalos nomeados</vt:lpstr>
      </vt:variant>
      <vt:variant>
        <vt:i4>24</vt:i4>
      </vt:variant>
    </vt:vector>
  </HeadingPairs>
  <TitlesOfParts>
    <vt:vector size="44" baseType="lpstr">
      <vt:lpstr>Disclaimer</vt:lpstr>
      <vt:lpstr>Orientações de Preenchimento</vt:lpstr>
      <vt:lpstr>Plano de Trabalho</vt:lpstr>
      <vt:lpstr>Provisão de Água</vt:lpstr>
      <vt:lpstr>Provisão Biomassa Combustível</vt:lpstr>
      <vt:lpstr>Apoio_Provisão Biomassa Comb.</vt:lpstr>
      <vt:lpstr>Regulação Qualidade da Água</vt:lpstr>
      <vt:lpstr>Apoio_Regulação Qualidade Água</vt:lpstr>
      <vt:lpstr>Assimilação Efluentes Líquido</vt:lpstr>
      <vt:lpstr>Apoio_Efluentes</vt:lpstr>
      <vt:lpstr>Regulação do clima global</vt:lpstr>
      <vt:lpstr>Apoio_Regulação do clima global</vt:lpstr>
      <vt:lpstr>FN3Aux</vt:lpstr>
      <vt:lpstr>Regulação de polinização</vt:lpstr>
      <vt:lpstr>Apoio Regulação de Polinização</vt:lpstr>
      <vt:lpstr>Regulação da Erosão do Solo</vt:lpstr>
      <vt:lpstr>Apoio_Regulação da Erosão</vt:lpstr>
      <vt:lpstr>Recreação e Turismo</vt:lpstr>
      <vt:lpstr>Resumo</vt:lpstr>
      <vt:lpstr>Plan1</vt:lpstr>
      <vt:lpstr>Amazônia</vt:lpstr>
      <vt:lpstr>Areaadensamento</vt:lpstr>
      <vt:lpstr>Áreaenriquecimento</vt:lpstr>
      <vt:lpstr>Areaisolamento</vt:lpstr>
      <vt:lpstr>Areaplantiototal</vt:lpstr>
      <vt:lpstr>biomas</vt:lpstr>
      <vt:lpstr>Caatinga</vt:lpstr>
      <vt:lpstr>Cerrado</vt:lpstr>
      <vt:lpstr>Efluente</vt:lpstr>
      <vt:lpstr>empresa</vt:lpstr>
      <vt:lpstr>FatorEqPC</vt:lpstr>
      <vt:lpstr>fcaa</vt:lpstr>
      <vt:lpstr>MAtlântica</vt:lpstr>
      <vt:lpstr>Pampa</vt:lpstr>
      <vt:lpstr>Pantanal</vt:lpstr>
      <vt:lpstr>RH</vt:lpstr>
      <vt:lpstr>'Regulação Qualidade da Água'!sel</vt:lpstr>
      <vt:lpstr>setor</vt:lpstr>
      <vt:lpstr>simnao</vt:lpstr>
      <vt:lpstr>simnaonovo</vt:lpstr>
      <vt:lpstr>Subterrânea</vt:lpstr>
      <vt:lpstr>Superfície</vt:lpstr>
      <vt:lpstr>Unidade</vt:lpstr>
      <vt:lpstr>usodaterra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gisela.chulman</dc:creator>
  <cp:lastModifiedBy>Natalia Lutti Hummel</cp:lastModifiedBy>
  <cp:lastPrinted>2014-03-27T20:49:36Z</cp:lastPrinted>
  <dcterms:created xsi:type="dcterms:W3CDTF">2014-03-10T17:45:24Z</dcterms:created>
  <dcterms:modified xsi:type="dcterms:W3CDTF">2015-10-16T14:38:48Z</dcterms:modified>
</cp:coreProperties>
</file>